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User\Desktop\Раздолье\ПРОТОКОЛЫ\Собрание 13.06.25\ИТОГИ\"/>
    </mc:Choice>
  </mc:AlternateContent>
  <xr:revisionPtr revIDLastSave="0" documentId="8_{275E7073-CDAF-45F1-8E53-F70FD0B2D482}" xr6:coauthVersionLast="47" xr6:coauthVersionMax="47" xr10:uidLastSave="{00000000-0000-0000-0000-000000000000}"/>
  <bookViews>
    <workbookView xWindow="-108" yWindow="-108" windowWidth="23256" windowHeight="12576" tabRatio="640" xr2:uid="{101F1DDB-A055-46BB-9A90-660F25F73434}"/>
  </bookViews>
  <sheets>
    <sheet name="Смета 2024-2025" sheetId="7" r:id="rId1"/>
    <sheet name="ФЭО к смете 2025-2026_v2" sheetId="4" r:id="rId2"/>
    <sheet name="КП ремонт дорог" sheetId="5" r:id="rId3"/>
    <sheet name="Лист2" sheetId="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7" l="1"/>
  <c r="C70" i="7"/>
  <c r="D69" i="7"/>
  <c r="C69" i="7"/>
  <c r="D63" i="7"/>
  <c r="B63" i="7"/>
  <c r="A63" i="7"/>
  <c r="B61" i="7"/>
  <c r="A61" i="7"/>
  <c r="D62" i="7"/>
  <c r="C46" i="7"/>
  <c r="E45" i="7"/>
  <c r="D45" i="7"/>
  <c r="E44" i="7"/>
  <c r="D44" i="7"/>
  <c r="E43" i="7"/>
  <c r="D43" i="7"/>
  <c r="E42" i="7"/>
  <c r="D42" i="7"/>
  <c r="E40" i="7"/>
  <c r="D39" i="7"/>
  <c r="E38" i="7"/>
  <c r="D37" i="7"/>
  <c r="D35" i="7"/>
  <c r="E35" i="7"/>
  <c r="D36" i="7"/>
  <c r="E36" i="7"/>
  <c r="E34" i="7"/>
  <c r="D34" i="7"/>
  <c r="D32" i="7"/>
  <c r="E30" i="7"/>
  <c r="D30" i="7"/>
  <c r="D17" i="7"/>
  <c r="E17" i="7"/>
  <c r="E46" i="7" s="1"/>
  <c r="D18" i="7"/>
  <c r="E18" i="7"/>
  <c r="D19" i="7"/>
  <c r="E19" i="7"/>
  <c r="D20" i="7"/>
  <c r="E20" i="7"/>
  <c r="D21" i="7"/>
  <c r="E21" i="7"/>
  <c r="D22" i="7"/>
  <c r="E22" i="7"/>
  <c r="D23" i="7"/>
  <c r="E23" i="7"/>
  <c r="D24" i="7"/>
  <c r="E24" i="7"/>
  <c r="D25" i="7"/>
  <c r="E25" i="7"/>
  <c r="D26" i="7"/>
  <c r="E26" i="7"/>
  <c r="D27" i="7"/>
  <c r="E27" i="7"/>
  <c r="E16" i="7"/>
  <c r="D28" i="7"/>
  <c r="D16" i="7"/>
  <c r="D46" i="7" s="1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8" i="7"/>
  <c r="C49" i="7"/>
  <c r="C50" i="7"/>
  <c r="D50" i="7" s="1"/>
  <c r="C51" i="7"/>
  <c r="C52" i="7"/>
  <c r="C53" i="7"/>
  <c r="C54" i="7"/>
  <c r="D54" i="7" s="1"/>
  <c r="C55" i="7"/>
  <c r="C56" i="7"/>
  <c r="C57" i="7"/>
  <c r="B56" i="7"/>
  <c r="B57" i="7"/>
  <c r="B52" i="7"/>
  <c r="B53" i="7"/>
  <c r="B54" i="7"/>
  <c r="B55" i="7"/>
  <c r="B51" i="7"/>
  <c r="B50" i="7"/>
  <c r="B49" i="7"/>
  <c r="B48" i="7"/>
  <c r="A48" i="7"/>
  <c r="B45" i="7"/>
  <c r="B44" i="7"/>
  <c r="B43" i="7"/>
  <c r="B42" i="7"/>
  <c r="B41" i="7"/>
  <c r="B40" i="7"/>
  <c r="B39" i="7"/>
  <c r="B38" i="7"/>
  <c r="B37" i="7"/>
  <c r="B36" i="7"/>
  <c r="B35" i="7"/>
  <c r="B34" i="7"/>
  <c r="A33" i="7"/>
  <c r="B32" i="7"/>
  <c r="A32" i="7"/>
  <c r="A31" i="7"/>
  <c r="A30" i="7"/>
  <c r="A29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E63" i="7"/>
  <c r="D73" i="7" s="1"/>
  <c r="E57" i="7"/>
  <c r="D56" i="7"/>
  <c r="D55" i="7"/>
  <c r="E53" i="7"/>
  <c r="D52" i="7"/>
  <c r="D51" i="7"/>
  <c r="E49" i="7"/>
  <c r="A49" i="7"/>
  <c r="A50" i="7" s="1"/>
  <c r="A51" i="7" s="1"/>
  <c r="A52" i="7" s="1"/>
  <c r="A53" i="7" s="1"/>
  <c r="A54" i="7" s="1"/>
  <c r="A55" i="7" s="1"/>
  <c r="A56" i="7" s="1"/>
  <c r="A57" i="7" s="1"/>
  <c r="E62" i="7"/>
  <c r="B33" i="7"/>
  <c r="D31" i="7"/>
  <c r="D29" i="7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E11" i="7" l="1"/>
  <c r="C11" i="7" s="1"/>
  <c r="C58" i="7"/>
  <c r="E50" i="7"/>
  <c r="E51" i="7"/>
  <c r="E54" i="7"/>
  <c r="E55" i="7"/>
  <c r="E70" i="7"/>
  <c r="E69" i="7"/>
  <c r="A34" i="7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C72" i="7"/>
  <c r="D10" i="7"/>
  <c r="C10" i="7" s="1"/>
  <c r="E48" i="7"/>
  <c r="D49" i="7"/>
  <c r="E52" i="7"/>
  <c r="D53" i="7"/>
  <c r="D48" i="7"/>
  <c r="C59" i="7" l="1"/>
  <c r="E8" i="7"/>
  <c r="E58" i="7"/>
  <c r="E9" i="7" s="1"/>
  <c r="D58" i="7"/>
  <c r="D9" i="7" s="1"/>
  <c r="D8" i="7"/>
  <c r="D13" i="7" s="1"/>
  <c r="E13" i="7" l="1"/>
  <c r="C8" i="7"/>
  <c r="C13" i="7" s="1"/>
  <c r="A62" i="4" l="1"/>
  <c r="A63" i="4" s="1"/>
  <c r="A55" i="4"/>
  <c r="A56" i="4" s="1"/>
  <c r="A57" i="4" s="1"/>
  <c r="A58" i="4" s="1"/>
  <c r="A59" i="4" s="1"/>
  <c r="A60" i="4" s="1"/>
  <c r="A61" i="4" s="1"/>
  <c r="F45" i="4"/>
  <c r="K41" i="4"/>
  <c r="F55" i="4"/>
  <c r="F56" i="4"/>
  <c r="F20" i="4"/>
  <c r="A20" i="4"/>
  <c r="A21" i="4" s="1"/>
  <c r="A22" i="4" s="1"/>
  <c r="A23" i="4" s="1"/>
  <c r="A24" i="4" s="1"/>
  <c r="A25" i="4" s="1"/>
  <c r="A26" i="4" s="1"/>
  <c r="F46" i="4"/>
  <c r="E31" i="4" l="1"/>
  <c r="F69" i="4"/>
  <c r="E41" i="4"/>
  <c r="E40" i="4"/>
  <c r="F19" i="4"/>
  <c r="F21" i="4" s="1"/>
  <c r="F22" i="4"/>
  <c r="F61" i="4"/>
  <c r="F60" i="4"/>
  <c r="F25" i="4"/>
  <c r="E43" i="4"/>
  <c r="E42" i="4"/>
  <c r="J6" i="4"/>
  <c r="K6" i="4"/>
  <c r="L6" i="4"/>
  <c r="J7" i="4"/>
  <c r="K7" i="4"/>
  <c r="L7" i="4"/>
  <c r="F58" i="4" l="1"/>
  <c r="F59" i="4"/>
  <c r="E76" i="4"/>
  <c r="F76" i="4" s="1"/>
  <c r="J76" i="4" s="1"/>
  <c r="F31" i="4"/>
  <c r="I31" i="4" s="1"/>
  <c r="F41" i="4"/>
  <c r="J41" i="4" s="1"/>
  <c r="F39" i="4"/>
  <c r="F40" i="4"/>
  <c r="I40" i="4" s="1"/>
  <c r="G12" i="5"/>
  <c r="G11" i="5"/>
  <c r="G10" i="5"/>
  <c r="G9" i="5"/>
  <c r="G8" i="5"/>
  <c r="G7" i="5"/>
  <c r="F24" i="4"/>
  <c r="F43" i="4"/>
  <c r="J43" i="4" s="1"/>
  <c r="F42" i="4"/>
  <c r="I42" i="4" s="1"/>
  <c r="F57" i="4"/>
  <c r="F54" i="4"/>
  <c r="E29" i="4"/>
  <c r="E27" i="4"/>
  <c r="A27" i="4" l="1"/>
  <c r="A28" i="4" s="1"/>
  <c r="F36" i="4"/>
  <c r="F72" i="4"/>
  <c r="F44" i="4" s="1"/>
  <c r="B36" i="4"/>
  <c r="F26" i="4"/>
  <c r="F62" i="4"/>
  <c r="O2" i="4"/>
  <c r="I56" i="4" l="1"/>
  <c r="J56" i="4"/>
  <c r="I55" i="4"/>
  <c r="J55" i="4"/>
  <c r="I20" i="4"/>
  <c r="J20" i="4"/>
  <c r="I21" i="4"/>
  <c r="J21" i="4"/>
  <c r="I46" i="4"/>
  <c r="J46" i="4"/>
  <c r="I45" i="4"/>
  <c r="J45" i="4"/>
  <c r="J61" i="4"/>
  <c r="I61" i="4"/>
  <c r="I60" i="4"/>
  <c r="J60" i="4"/>
  <c r="J57" i="4"/>
  <c r="I57" i="4"/>
  <c r="I26" i="4"/>
  <c r="J26" i="4"/>
  <c r="J25" i="4"/>
  <c r="I25" i="4"/>
  <c r="J54" i="4"/>
  <c r="J24" i="4"/>
  <c r="I24" i="4"/>
  <c r="J58" i="4"/>
  <c r="I58" i="4"/>
  <c r="I59" i="4"/>
  <c r="J59" i="4"/>
  <c r="I39" i="4"/>
  <c r="I54" i="4"/>
  <c r="J39" i="4"/>
  <c r="A29" i="4"/>
  <c r="A30" i="4" s="1"/>
  <c r="A31" i="4" s="1"/>
  <c r="A37" i="4"/>
  <c r="A38" i="4" s="1"/>
  <c r="A39" i="4" s="1"/>
  <c r="J72" i="4"/>
  <c r="I62" i="4"/>
  <c r="J62" i="4"/>
  <c r="J69" i="4"/>
  <c r="O8" i="4" s="1"/>
  <c r="J22" i="4"/>
  <c r="I22" i="4"/>
  <c r="J19" i="4"/>
  <c r="I19" i="4"/>
  <c r="F27" i="4"/>
  <c r="O3" i="4"/>
  <c r="F63" i="4"/>
  <c r="F47" i="4"/>
  <c r="F38" i="4"/>
  <c r="F37" i="4"/>
  <c r="F35" i="4"/>
  <c r="F34" i="4"/>
  <c r="F33" i="4"/>
  <c r="F32" i="4"/>
  <c r="F30" i="4"/>
  <c r="F29" i="4"/>
  <c r="F28" i="4"/>
  <c r="F23" i="4"/>
  <c r="I47" i="4" l="1"/>
  <c r="J47" i="4"/>
  <c r="O9" i="4"/>
  <c r="F48" i="4"/>
  <c r="F64" i="4"/>
  <c r="A40" i="4"/>
  <c r="J63" i="4"/>
  <c r="J64" i="4" s="1"/>
  <c r="I33" i="4"/>
  <c r="I37" i="4"/>
  <c r="J29" i="4"/>
  <c r="I29" i="4"/>
  <c r="I38" i="4"/>
  <c r="J38" i="4"/>
  <c r="I32" i="4"/>
  <c r="I27" i="4"/>
  <c r="J27" i="4"/>
  <c r="I30" i="4"/>
  <c r="J30" i="4"/>
  <c r="I34" i="4"/>
  <c r="I23" i="4"/>
  <c r="J23" i="4"/>
  <c r="I35" i="4"/>
  <c r="I28" i="4"/>
  <c r="J28" i="4"/>
  <c r="J33" i="4"/>
  <c r="J37" i="4"/>
  <c r="I63" i="4"/>
  <c r="A41" i="4" l="1"/>
  <c r="A42" i="4" s="1"/>
  <c r="A43" i="4" s="1"/>
  <c r="A44" i="4" s="1"/>
  <c r="A45" i="4" s="1"/>
  <c r="A46" i="4" s="1"/>
  <c r="A47" i="4" s="1"/>
  <c r="I48" i="4"/>
  <c r="J48" i="4"/>
  <c r="I64" i="4"/>
  <c r="N7" i="4"/>
  <c r="F50" i="4" l="1"/>
  <c r="F66" i="4" s="1"/>
  <c r="J49" i="4"/>
  <c r="J50" i="4" s="1"/>
  <c r="I49" i="4"/>
  <c r="I50" i="4" s="1"/>
  <c r="A72" i="4"/>
  <c r="A49" i="4"/>
  <c r="N6" i="4"/>
  <c r="M6" i="4" l="1"/>
  <c r="M7" i="4"/>
  <c r="J65" i="4"/>
  <c r="I65" i="4"/>
  <c r="O6" i="4" l="1"/>
  <c r="O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E60" authorId="0" shapeId="0" xr:uid="{A5145E4E-6EDC-4BFC-ADC1-ACC767863C74}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было итого 20000</t>
        </r>
      </text>
    </comment>
  </commentList>
</comments>
</file>

<file path=xl/sharedStrings.xml><?xml version="1.0" encoding="utf-8"?>
<sst xmlns="http://schemas.openxmlformats.org/spreadsheetml/2006/main" count="287" uniqueCount="212">
  <si>
    <t>Членские взносы:</t>
  </si>
  <si>
    <t>№</t>
  </si>
  <si>
    <t>Целевые взносы:</t>
  </si>
  <si>
    <t>Статьи расходов</t>
  </si>
  <si>
    <t>Кол-во в год</t>
  </si>
  <si>
    <t>Руб./период</t>
  </si>
  <si>
    <t>месяц</t>
  </si>
  <si>
    <t>Налоги ФОТ</t>
  </si>
  <si>
    <t>Обслуживание р/с (банк), ЭЦП</t>
  </si>
  <si>
    <t>мес</t>
  </si>
  <si>
    <t>год</t>
  </si>
  <si>
    <t>Итого Членские взносы:</t>
  </si>
  <si>
    <t>Итого Целевые взносы:</t>
  </si>
  <si>
    <t>Комментарий в обоснование планируемого размера расхода</t>
  </si>
  <si>
    <t>Стоимость одной сотки в год</t>
  </si>
  <si>
    <t>1 оч</t>
  </si>
  <si>
    <t>2 оч</t>
  </si>
  <si>
    <t>Итого:</t>
  </si>
  <si>
    <t>шт</t>
  </si>
  <si>
    <t>эл-во адм зданий</t>
  </si>
  <si>
    <t>Оклад Председателя ТСН, включая НДФЛ 13%</t>
  </si>
  <si>
    <t>Ед.изм.</t>
  </si>
  <si>
    <t>Кол-во</t>
  </si>
  <si>
    <t>Офисные расходы</t>
  </si>
  <si>
    <t>Cотовая связь</t>
  </si>
  <si>
    <t>Песок (гололед)</t>
  </si>
  <si>
    <t>1-я очередь</t>
  </si>
  <si>
    <t>2-я очередь</t>
  </si>
  <si>
    <t> • Федеральным законом от 29.07.2017 № 217-ФЗ "О ведении гражданами садоводства и огородничества для собственных нужд и о внесении изменений в отдельные законодательные акты РФ"; </t>
  </si>
  <si>
    <t>ВЗНОСЫ:</t>
  </si>
  <si>
    <t>членский</t>
  </si>
  <si>
    <t>целевой</t>
  </si>
  <si>
    <t>2024-2025 (руб., сотка/год)</t>
  </si>
  <si>
    <t>В соответствии с законодательством РФ 30,2% ФОТ</t>
  </si>
  <si>
    <t>ВСЕГО расходов:</t>
  </si>
  <si>
    <t>расчетная</t>
  </si>
  <si>
    <t>Непредвиденные расходы</t>
  </si>
  <si>
    <t>Итого*:</t>
  </si>
  <si>
    <t>Услуги ассенизатора, химия</t>
  </si>
  <si>
    <t>Нотариальные услуги/регистрационные услуги</t>
  </si>
  <si>
    <t>Всего:</t>
  </si>
  <si>
    <t>Участков:</t>
  </si>
  <si>
    <t>Соток:</t>
  </si>
  <si>
    <t xml:space="preserve">В соответствии с фактическим расходом предыдущего периода (забор, шлагбаум-ворота, офис, площадка для мусора, гостевая парковка, детская площадка, озеро, пляж, мостки, хоз. нужды - триммер, инструмент, эл. автоматы, лампочки, бензин, леска для триммера, газ балоны). </t>
  </si>
  <si>
    <t>В соответствии с фактическим расходом предыдущего периода, но с корректировкой потенциальных нужд из-за увеличения документооборота и роста потребительских цен (офисная бумага, картридж для принтера, канцтовары и т.д.)</t>
  </si>
  <si>
    <t>Услуги Почты России</t>
  </si>
  <si>
    <t>Уборка снега 1-я очередь</t>
  </si>
  <si>
    <t>Распределением на участки с строениями (дом, бытовка). Учет не по соткам (см.ниже)</t>
  </si>
  <si>
    <t>участков</t>
  </si>
  <si>
    <t>стоимость/мес</t>
  </si>
  <si>
    <r>
      <t>Вывоз мусора</t>
    </r>
    <r>
      <rPr>
        <sz val="11"/>
        <color rgb="FFFF0000"/>
        <rFont val="Calibri"/>
        <family val="2"/>
        <charset val="204"/>
      </rPr>
      <t>*</t>
    </r>
  </si>
  <si>
    <t>цена/мес</t>
  </si>
  <si>
    <t xml:space="preserve">На дату подготовки ФЭО, предыдущее Правление не передало архив документов, информацию. </t>
  </si>
  <si>
    <t xml:space="preserve">В связи с этим в ФЭО учтены запросы на работы/обслуживание тех участков, кто участвовал в обсуждении ФЭО (Реестр собственников прилагается). </t>
  </si>
  <si>
    <t xml:space="preserve">А также с учетом следующего: </t>
  </si>
  <si>
    <t>список участков см.ниже под табличной частью ФЭО</t>
  </si>
  <si>
    <t>Дополнительная составляющая платежей членских и целевых взносов с расчетом не от сотки, а от количества участков (подход Поставщиков услуг):</t>
  </si>
  <si>
    <t>Сумма, руб.
2024-2025</t>
  </si>
  <si>
    <t>эл-во уличное (1-я оч)</t>
  </si>
  <si>
    <t>Дополнительно</t>
  </si>
  <si>
    <t>Стоимость за ед/тариф, руб. (средн расчетн)</t>
  </si>
  <si>
    <t>Потери в эл. сетях (1-я оч)</t>
  </si>
  <si>
    <t>Настоящее финансово-экономическое обоснование является неотъемлемой частью приходно-расходной сметы ТСН "Раздолье" на 2025-2026 год, подготовлено в соответствии с:</t>
  </si>
  <si>
    <t>• Анализом хозяйственной деятельности ТСН "Раздолье" за 2024-2025 год;</t>
  </si>
  <si>
    <t> • Конъюнктурного анализа цен на товары и услуги по итогам расходов за 2024-2025 год. </t>
  </si>
  <si>
    <t>Больша часть собственников 2-й очереди не вышли на связь с Правлением, контактные данные отсутствуют, участки не освоены, нет возможности узнать их потребности.</t>
  </si>
  <si>
    <t>Финансово-экономическое обоснование расходной части сметы ТСН "Раздолье" на 2025-2026 (с 01.05.25-30.04.26)</t>
  </si>
  <si>
    <t>шт.</t>
  </si>
  <si>
    <t>Хоз. нужды, инвентарь, включая приобретение оргтехники и их обслуживание/ремонт</t>
  </si>
  <si>
    <t>Резерв (пополнение). Обслуживание трансформатора (1-я очередь)</t>
  </si>
  <si>
    <t>В соответствии с суммой в ежемесячном счете Мосэнергосбыт (порядка 35,000/мес лето, 70,000 зима). Правление в процессе передачи сетей в Россети, что минимизирует расход</t>
  </si>
  <si>
    <t>600КВт*8мес осень-весна + 400КВт*4мес весна-осень + доля потерь в сетях</t>
  </si>
  <si>
    <t>согласно счетов Мосэнергосбыт</t>
  </si>
  <si>
    <t>Уборка снега 2-я очередь по улицам к уч.99, 111 (120), 144 и уч.156</t>
  </si>
  <si>
    <t>Сумма, руб.
 2025-2026</t>
  </si>
  <si>
    <t>Раздевалка на пляж</t>
  </si>
  <si>
    <t>Запрос жителей</t>
  </si>
  <si>
    <t>Лежаки на пляж</t>
  </si>
  <si>
    <t>Пляж (ремонт)</t>
  </si>
  <si>
    <t>Строительство дороги (2-я очередь)</t>
  </si>
  <si>
    <t>Согласно тарифа МТС и фактического потребления услуг связи прошлого 2024-2025г.</t>
  </si>
  <si>
    <r>
      <t>Уборка снега 2-я очередь (общая дорога до уч 86(А) и далее по улицам к уч.99, 111 (120), 144, 156)</t>
    </r>
    <r>
      <rPr>
        <b/>
        <sz val="11"/>
        <rFont val="Calibri"/>
        <family val="2"/>
        <charset val="204"/>
      </rPr>
      <t>**</t>
    </r>
  </si>
  <si>
    <t>Покос обочин</t>
  </si>
  <si>
    <t>Бухгалтерское обслуживание</t>
  </si>
  <si>
    <t>Объект:     Московская область,</t>
  </si>
  <si>
    <t xml:space="preserve">Работы:    Ямочный ремонт              </t>
  </si>
  <si>
    <t>СМЕТА</t>
  </si>
  <si>
    <t xml:space="preserve">Описание  работ </t>
  </si>
  <si>
    <t xml:space="preserve">Марка, тип </t>
  </si>
  <si>
    <t>Ед. изм.</t>
  </si>
  <si>
    <t>Количество</t>
  </si>
  <si>
    <t xml:space="preserve">  </t>
  </si>
  <si>
    <t xml:space="preserve">Цена за ед. руб  </t>
  </si>
  <si>
    <t>Стоимость. Руб</t>
  </si>
  <si>
    <t>1.1</t>
  </si>
  <si>
    <t xml:space="preserve">Ямочный ремонт из асфальтовой крошки </t>
  </si>
  <si>
    <t>м2</t>
  </si>
  <si>
    <t>1.2</t>
  </si>
  <si>
    <t xml:space="preserve">Ямочный ремонт из Щебня 20*40 известняк </t>
  </si>
  <si>
    <t>1.3</t>
  </si>
  <si>
    <t xml:space="preserve">Разработка грунта </t>
  </si>
  <si>
    <t>м3</t>
  </si>
  <si>
    <t>1.4</t>
  </si>
  <si>
    <t>Устройство кирпичного или бетонного боя 300-400 мм</t>
  </si>
  <si>
    <t>1.5</t>
  </si>
  <si>
    <t xml:space="preserve">Устройство асфальтовой крошки толщиной 7-10 см </t>
  </si>
  <si>
    <t>1.6</t>
  </si>
  <si>
    <t xml:space="preserve">Праливка битумной эмулсии </t>
  </si>
  <si>
    <t>21000руб*3раза/год (трактором)</t>
  </si>
  <si>
    <t>Ремонт дорог (ямочный) 1-я очередь</t>
  </si>
  <si>
    <t>Ремонт дорог (ямочный) 2-я очередь общая дорога (до уч 86(А)</t>
  </si>
  <si>
    <t>устройство дорог</t>
  </si>
  <si>
    <r>
      <rPr>
        <sz val="11"/>
        <color rgb="FFFF0000"/>
        <rFont val="Aptos Narrow"/>
        <family val="2"/>
        <scheme val="minor"/>
      </rPr>
      <t>**</t>
    </r>
    <r>
      <rPr>
        <sz val="11"/>
        <color theme="1"/>
        <rFont val="Aptos Narrow"/>
        <family val="2"/>
        <charset val="204"/>
        <scheme val="minor"/>
      </rPr>
      <t>подлежит включению в квитанции 6 участков доп оплата за снег: 87, 93, 99, 111 (120), 144, 156. При постройке новых домов будет расширен перечень участков, оплачивающих чистку до участка</t>
    </r>
  </si>
  <si>
    <t>Замена ламп освещения</t>
  </si>
  <si>
    <t>Ливневки (местный ремонт)</t>
  </si>
  <si>
    <t>заложен только мелкий ремонт. Ведутся сборы КП от подрядных организаций с запросом ремонта дорог, включающих капитальный ремонт/создание ливневок</t>
  </si>
  <si>
    <t>Песок 3 машины по 11,000 + доставка 3,500=36,500+работа трактора=50,000. Ремонт трубы ливневой 50,000</t>
  </si>
  <si>
    <t>Спорт объекты</t>
  </si>
  <si>
    <t>Теннисный стол, турники и др.</t>
  </si>
  <si>
    <t>Период/шт</t>
  </si>
  <si>
    <t>Обустройство дорог 2-й очереди. Предложения от жителей не поступили. Правлением получено КП от подрядчика, но ведется поиск альтернативных подрядчиков.
По имеющемуся КП (см.закладка "КП ремонт дорог"), стоимость сооружения дороги (снятие грунта+бой+асфальтовая крошка) составляет 2020 руб/кв.м. Площадь дорог 7239 м². Цена итого 14,6 млн.руб. (это 92 500 руб/уч) - указано в настоящем ФЭО. При этом по кадастру площадь дороги 48965 кв.м., тогда обустройство дорог стоит 99 млн.руб. (это платеж 620 000 руб/уч). Необходимо уточнение с подрядчиком</t>
  </si>
  <si>
    <t>2025-2026 (руб., сотка/год)</t>
  </si>
  <si>
    <r>
      <t>Дополнительная плата за чистку до дома 6 участков: 1,000 руб*6уч*5мес=30,000.</t>
    </r>
    <r>
      <rPr>
        <i/>
        <sz val="11"/>
        <color rgb="FFFF0000"/>
        <rFont val="Calibri"/>
        <family val="2"/>
        <charset val="204"/>
      </rPr>
      <t>**</t>
    </r>
    <r>
      <rPr>
        <i/>
        <sz val="11"/>
        <rFont val="Calibri"/>
        <family val="2"/>
        <charset val="204"/>
      </rPr>
      <t xml:space="preserve">
</t>
    </r>
  </si>
  <si>
    <t>Уборка снега 2-я очередь по улицам к уч.99, 111 (120), 144, 156)**</t>
  </si>
  <si>
    <t xml:space="preserve">мес </t>
  </si>
  <si>
    <t>снег до уч 2-я оч, руб/мес</t>
  </si>
  <si>
    <t>мусор с уч, руб/мес</t>
  </si>
  <si>
    <t>Пополнение резерва на 50,000 (на случай мелкого ремонта, также может быть использовано в целях статьи 11). При существенной поломке будет открыт внеочередной сбор. Возможность пополнения резерва предусмотрена прошлогодней сметой 2024-2025: "При неизрасходовании будет формирование резерва в учете - при отсутствии ремонта в текущем году, сумма в новой смете участвовать либо не будет, либо будет продолжено накопление по этой статье."</t>
  </si>
  <si>
    <t>Дополнительно индивидуально с 6 участков чистка до дома: 1,000*6уч*5мес=30,000.**</t>
  </si>
  <si>
    <t>Услуги 2024-2025 6500руб. Заложен рост услуг подрядчика + химия для выгребных ям</t>
  </si>
  <si>
    <t>до 5% стоимости товаров и услуг, входящих в членские взносы (Непредвиденные расходы: не учтенные в вышеизложенных статьях расходы, возникновение которых может быть обусловлено удорожанием цен работ и услуг (в т.ч. связанным с инфляцией), затратами, связанными с изменением законодательства, решением властей различного уровня, возможными штрафами, решениями суда, услугами адвоката для представления интересов ТСН в суде (в случае превышения минимально необходимых расходов, согласно статей сметы); с аварийными работами и устранением различных повреждений.</t>
  </si>
  <si>
    <t>Оплата услуг Почты России в связи с предстоящими судами против должников. Количество участков установлено с учетом текущих собственников неплательщиков, а также предыдущих собственников неплательщиков. Указанная сумма может быть использована при необходимости в целях ст.5,8,9,10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</si>
  <si>
    <t>расчет оплаты за работу с одним должником: оплата производится поэтапно (этапы 1-4), в случае если какой то из этапов не наступает или пропускается, то такой этап оплате не подлежит. Оплата каждого договоренного этапа может производится как единоразово, так и с ежемесячной рассрочкой на срок не более 1 года. 
1 Этап. Досудебная работа 
2-3 Этап. Судебное производство
4 Этап. Исковое производство 
Указанная сумма может быть использована при необходимости в целях ст.5,8,9,10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</si>
  <si>
    <t>Исполнитель с функциями управляющего ТСН, вахтера</t>
  </si>
  <si>
    <t xml:space="preserve">Договорная стоимость определена исходя из трудозатрат и сложившейся в других ТСН практики (Функционал вахтера; Текущий ремонт и организация работ по обслуживанию объектов ТСН; Прочистка ливневок - оперативный ремонт; Покос и обслуживание въездной зоны, детской площадки и др.зон; организация оперативных работ по ТСН и поручений правления; Административные активности: взаимодействие с бухгалтерией, нотариусом, адвокатом по масштабным судебным делам против неплательщиков, работа с населением, должниками, госорганами; Сбор и передача показаний счетчиков электроэнергии общего электричества. </t>
  </si>
  <si>
    <t>ПП 1С.Садовод + сдача отчетности (приобретение доступа к облачному ресурсу)
25,000/год</t>
  </si>
  <si>
    <r>
      <t xml:space="preserve">фонари 1-я очередь - в целях экономии </t>
    </r>
    <r>
      <rPr>
        <b/>
        <i/>
        <sz val="11"/>
        <rFont val="Calibri"/>
        <family val="2"/>
        <charset val="204"/>
      </rPr>
      <t xml:space="preserve">подрядчик вызывает при перегорании не менее 4-х ламп, </t>
    </r>
    <r>
      <rPr>
        <i/>
        <sz val="11"/>
        <rFont val="Calibri"/>
        <family val="2"/>
        <charset val="204"/>
      </rPr>
      <t xml:space="preserve">что даст плановую стоимость 1 фонарь 10,000. Закладывается замена 10 ламп. Плюс заложена замена ламп освещения 2023-2024 135,000.
</t>
    </r>
    <r>
      <rPr>
        <b/>
        <i/>
        <sz val="11"/>
        <rFont val="Calibri"/>
        <family val="2"/>
        <charset val="204"/>
      </rPr>
      <t>В целях экономии следующих лет,</t>
    </r>
    <r>
      <rPr>
        <i/>
        <sz val="11"/>
        <rFont val="Calibri"/>
        <family val="2"/>
        <charset val="204"/>
      </rPr>
      <t xml:space="preserve"> по опыту соседних поселков, предложен переход от ламп на дуге к лампам в верхней части столба (в основании дуги) с тем, чтоб замену осуществлять без вызова люльки-крана</t>
    </r>
  </si>
  <si>
    <t>12,000/чистка * 4 раз в мес =48,000</t>
  </si>
  <si>
    <r>
      <t>Чистка в т.ч.:
Чистка общей дороги: 10,000*4 раз в мес*5мес=</t>
    </r>
    <r>
      <rPr>
        <b/>
        <i/>
        <sz val="11"/>
        <color rgb="FFFF0000"/>
        <rFont val="Calibri"/>
        <family val="2"/>
        <charset val="204"/>
      </rPr>
      <t>200,000</t>
    </r>
    <r>
      <rPr>
        <i/>
        <sz val="11"/>
        <rFont val="Calibri"/>
        <family val="2"/>
        <charset val="204"/>
      </rPr>
      <t xml:space="preserve">
Общая дорога от въезда в ТСН до уч 86(А) оплачивается всеми собственниками 2-й очереди, далее по улицам оплачивают участки, имеющие строения. </t>
    </r>
  </si>
  <si>
    <t>Обслуживание домена</t>
  </si>
  <si>
    <t>Согласно расценок оператора (включяет ежемесячные платежи + годовой)</t>
  </si>
  <si>
    <t>Адвокат (судебные дела + суды с должниками)</t>
  </si>
  <si>
    <t xml:space="preserve">Велосипед </t>
  </si>
  <si>
    <t>Вахтеру для обхода территории</t>
  </si>
  <si>
    <t>Демонтаж рыбацких домиков на озере</t>
  </si>
  <si>
    <t>требование лесника и пожарной охраны (построены ДПК Раздолье)</t>
  </si>
  <si>
    <t>Печь-буржуйка (зимнее отопление вагончик на въезде)</t>
  </si>
  <si>
    <t>печка-буржуйка + монтаж дымохода (сэндвич)</t>
  </si>
  <si>
    <t>Ремонт вагончика на въезде</t>
  </si>
  <si>
    <t>Полы, утепление, облицовка и др.</t>
  </si>
  <si>
    <t>ПП 1С.Садовод</t>
  </si>
  <si>
    <t>Песок 10 кубов с доставкой 15,000. Работы по отсыпке заложены в ст.3 (УК ИП)</t>
  </si>
  <si>
    <t>Кол-во участков 2 оч</t>
  </si>
  <si>
    <t>Разовый взнос с 1 уч</t>
  </si>
  <si>
    <t>Расчет произведен на основе:
1. ДС № 13005 с тарифами на 2025 к договору с подрядной организацией - 206,000/год + 10% роста тирифа с 2026
2. Договор аренды контейнера - 1,100/1шт/мес
3. Согласно решения ВС РФ вывоз мусора распределен на участки со строениями https://www.vsrf.ru/press_center/mass_media/31435/?ysclid=m01iscw91u504654446   (предполагается, что будет отдельной строкой в квитанции)</t>
  </si>
  <si>
    <r>
      <t xml:space="preserve">Функционал аутсорсинговой компании как оказалось сильно ограничен, включенная стоимость услуг в смету 2024-2025 не покрывает полного объема услуг по ведению бухучета - чтобы избежать двукратного превышения сметы, исполнитель с функциями управляющего ТСН существенную часть работы бухгалетрии принял на себя (подробно будет отражено в Отчете Правления на собрании). 
Было заложено в смету 2024-2025 по 15,000/мес.
Планируется отказ от дальнейшей работы с ИП Акимова, и переход на взаимодействие с бухгалтером. Цена услуг бухгалтера по ведению учета 20,000 
</t>
    </r>
    <r>
      <rPr>
        <i/>
        <sz val="11"/>
        <color rgb="FFFF0000"/>
        <rFont val="Calibri"/>
        <family val="2"/>
        <charset val="204"/>
      </rPr>
      <t>В случае перерасхода/экономии по статьям затрат бюджет сметы может быть перераспределен с детальным подтверждением перераспределения</t>
    </r>
  </si>
  <si>
    <t>Увеличено с 1,500/мес + 2500 обслуж бизнес-карты ТСН за 2024-2025, до 4500/мес в связи с ростом тарифов и ожидаемым ростом количества банковских операций</t>
  </si>
  <si>
    <t>Оплата услуг и госпошлин для получения данных собственников порядка 200 участков, т.к. скрытые собственники перепродают участки, новые собственники которых. также не выходят на связь (цель: поддержание рееста собственников в актуальном состоянии в т.ч.для судов против должников): 700*200 уч.=140,000. Регистрация нового председателя, получение ЭЦП, регистрация изменений в Устав и др.
Указанная сумма может быть использована при необходимости в целях ст.5,8,9,10, т.к. все эти статьи нацелены на повышение собираемости взносов, а следовательно снижение тарифа взноса в последующем при сборе долгов прошлых периодов</t>
  </si>
  <si>
    <t>Земельный налог</t>
  </si>
  <si>
    <t>квартал</t>
  </si>
  <si>
    <t>Квартальные платежи</t>
  </si>
  <si>
    <t xml:space="preserve">    14.1</t>
  </si>
  <si>
    <t xml:space="preserve">    14.2</t>
  </si>
  <si>
    <t xml:space="preserve">    14.3</t>
  </si>
  <si>
    <t>14.4.</t>
  </si>
  <si>
    <t>Компенсация за неиспользованный отпуск уходящего Председателя 28,750 вкл.НДФЛ 13%</t>
  </si>
  <si>
    <t>Компенсация за неиспользованный отпуск Председателя ТСН (уходящего)</t>
  </si>
  <si>
    <t>Система автоматического открывания ворот</t>
  </si>
  <si>
    <r>
      <rPr>
        <sz val="11"/>
        <color rgb="FFFF0000"/>
        <rFont val="Aptos Narrow"/>
        <family val="2"/>
        <scheme val="minor"/>
      </rPr>
      <t>*</t>
    </r>
    <r>
      <rPr>
        <sz val="11"/>
        <color theme="1"/>
        <rFont val="Aptos Narrow"/>
        <family val="2"/>
        <charset val="204"/>
        <scheme val="minor"/>
      </rPr>
      <t>подлежит включению в квитанции 58 участков №№: 1, 2, 3, 4, 7, 12, 13, 14, 15, 19, 20, 22, 23, 24, 25 (26), 30, 32, 34, 35, 36, 37, 39, 40, 41, 42, 43, 45, 48, 49, 50, 52, 53, 55, 56, 57, 58, 61, 62, 64, 65, 66, 67, 68, 69, 71, 73, 76, 82, 243, 87,</t>
    </r>
    <r>
      <rPr>
        <b/>
        <sz val="11"/>
        <color theme="1"/>
        <rFont val="Aptos Narrow"/>
        <family val="2"/>
        <scheme val="minor"/>
      </rPr>
      <t xml:space="preserve"> 89</t>
    </r>
    <r>
      <rPr>
        <sz val="11"/>
        <color theme="1"/>
        <rFont val="Aptos Narrow"/>
        <family val="2"/>
        <charset val="204"/>
        <scheme val="minor"/>
      </rPr>
      <t>, 93, 99, 101, 111 (120), 144, 155, 156</t>
    </r>
    <r>
      <rPr>
        <sz val="11"/>
        <color theme="1"/>
        <rFont val="Aptos Narrow"/>
        <family val="2"/>
        <scheme val="minor"/>
      </rPr>
      <t>. При постройке новых домов будет расширен перечень участков, оплачивающих мусор</t>
    </r>
  </si>
  <si>
    <t>в целях возможности въезда/выезда в ТСН в связи с увольнением охранников</t>
  </si>
  <si>
    <t>Утверждено Решением №11 чередного общего собрания от 13.06.2025</t>
  </si>
  <si>
    <t>ФЭО сметы представлен к обсуждению на собрании 13.06.2025, откорректировано жителями на собрании.</t>
  </si>
  <si>
    <t>25,000/мес на руки, т.е. оклад 28,750 вкл. НДФЛ 13%
28,750*1,15*12 мес
Оклад определен исходя из фактических трудозатрат, по нижней границе сложившейся в других ТСН практики и исходя из текущего количества освоенных участков ТСН (ок.100 уч)</t>
  </si>
  <si>
    <r>
      <t xml:space="preserve">Ремонт дорог весной 2025 (в т.ч.2-я очередь общая дорога до уч.86(А) был заложен в смету 2024-2025: Асф.крошка/гравий+доставка 5 машин * 30,000 + работа трактора согласно расценок прошлого года 30,000 + рабочие = 200,000. 
Так, в связи с недосбором взносов, настоящей сметой предусмотрен сбор.
</t>
    </r>
    <r>
      <rPr>
        <b/>
        <i/>
        <sz val="11"/>
        <rFont val="Calibri"/>
        <family val="2"/>
        <charset val="204"/>
      </rPr>
      <t>Собрание выбрало между ямочным ремонтом силами жителей, а не подрядчиком.</t>
    </r>
    <r>
      <rPr>
        <i/>
        <sz val="11"/>
        <rFont val="Calibri"/>
        <family val="2"/>
        <charset val="204"/>
      </rPr>
      <t xml:space="preserve">
Ямочный силами жителей (учтен в ФЭО): 40,000 крошка 1 машина +14000 аренда техники+рабочие 10,000
Ямочный подрядчиком отклонен (расценки см. в закладке "КП Ремонт дорог"):
</t>
    </r>
    <r>
      <rPr>
        <b/>
        <i/>
        <sz val="11"/>
        <rFont val="Calibri"/>
        <family val="2"/>
        <charset val="204"/>
      </rPr>
      <t>500 м²*800р.=400,000</t>
    </r>
  </si>
  <si>
    <r>
      <t xml:space="preserve">Ремонт дорог весной 2025 (в т.ч.2-я очередь общая дорога до уч.86(А) был заложен в смету 2024-2025: Асф.крошка/гравий+доставка 5 машин * 30,000 + работа трактора согласно расценок прошлого года 30,000 + рабочие = 200,000. Кроме того, пердыдущим правлением не выполнен ремонт дорог общей дороги 2-й очереди 2023-2024 на сумму 50,000.
Так, в связи с недосбором взносов, настоящей сметой предусмотрен сбор.
</t>
    </r>
    <r>
      <rPr>
        <b/>
        <i/>
        <sz val="11"/>
        <rFont val="Calibri"/>
        <family val="2"/>
        <charset val="204"/>
      </rPr>
      <t>Собрание выбралоь  ямочным ремонтом силами жителей, а не подрядчиком.</t>
    </r>
    <r>
      <rPr>
        <i/>
        <sz val="11"/>
        <rFont val="Calibri"/>
        <family val="2"/>
        <charset val="204"/>
      </rPr>
      <t xml:space="preserve">
Ямочный силами ТСН (учтен в ФЭО): 40,000 гравий 1 машина с доставкой +14000 аренда техники+рабочие 10,000
Ямочный подрядчиком отклонен (расценки см. в закладке "КП Ремонт дорог"):
</t>
    </r>
    <r>
      <rPr>
        <b/>
        <i/>
        <sz val="11"/>
        <rFont val="Calibri"/>
        <family val="2"/>
        <charset val="204"/>
      </rPr>
      <t>150 м²*790р.= 118,500</t>
    </r>
  </si>
  <si>
    <t>ЦЕЛЕВОЙ ФОНД С РАЗОВЫМ ПЛАТЕЖОМ - не согласован жителями. Принято решение вернуться к вопросу на следующем собрании:</t>
  </si>
  <si>
    <t>№ статьи</t>
  </si>
  <si>
    <t>Наименование статьи</t>
  </si>
  <si>
    <t>Сумма (руб.)</t>
  </si>
  <si>
    <t>Источник финансирования</t>
  </si>
  <si>
    <t>ДОХОДЫ (планируемые поступления согласно ФЭО)</t>
  </si>
  <si>
    <t>Членские взносы (распределением с сотки)</t>
  </si>
  <si>
    <t>Целевые взносы (распределением с сотки)</t>
  </si>
  <si>
    <t>NA</t>
  </si>
  <si>
    <t>Итого доходов:</t>
  </si>
  <si>
    <t>РАСХОДЫ</t>
  </si>
  <si>
    <t>Членские взносы</t>
  </si>
  <si>
    <t>см.расшировку ниже</t>
  </si>
  <si>
    <r>
      <t>Итого расходов (членских взносов):</t>
    </r>
    <r>
      <rPr>
        <b/>
        <sz val="11"/>
        <color rgb="FFFF0000"/>
        <rFont val="Calibri"/>
        <family val="2"/>
        <charset val="204"/>
      </rPr>
      <t>*</t>
    </r>
  </si>
  <si>
    <t>Целевые взносы</t>
  </si>
  <si>
    <r>
      <t>Итого расходов (целевых взносов):</t>
    </r>
    <r>
      <rPr>
        <b/>
        <sz val="11"/>
        <color rgb="FFFF0000"/>
        <rFont val="Calibri"/>
        <family val="2"/>
        <charset val="204"/>
      </rPr>
      <t>**</t>
    </r>
  </si>
  <si>
    <t>в т.ч. расшифровка к статьям сметы:</t>
  </si>
  <si>
    <t>участков, шт</t>
  </si>
  <si>
    <t>1 очередь</t>
  </si>
  <si>
    <t>2 очередь</t>
  </si>
  <si>
    <t>Дополнительно из расчета за участок/мес:</t>
  </si>
  <si>
    <t>мусор</t>
  </si>
  <si>
    <t>снег до уч</t>
  </si>
  <si>
    <t>На взносы, не оплаченные своевременно, могут начисляться пени согласно порядка, изложенного в Уставе ТСН "Раздолье" от 30.04.2023.</t>
  </si>
  <si>
    <t>                      Председатель собрания ТСН:        ____________/ Васильев В.В. /</t>
  </si>
  <si>
    <t>                      Секретарь собрания ТСН:           ___________/ Магдий О.А. /</t>
  </si>
  <si>
    <t>Приходно-расходная смета ТСН "Раздолье" 2025-2026 (01.05.2025-30.04.2026)</t>
  </si>
  <si>
    <t>                                                                                                                   Утверждена очередным очным общим собранием ТСН "Раздолье"</t>
  </si>
  <si>
    <t>                                                                                                             Протокол №11 от 13.06.2025</t>
  </si>
  <si>
    <t>*подлежит включению в квитанции 58 участков №№: 1, 2, 3, 4, 7, 12, 13, 14, 15, 19, 20, 22, 23, 24, 25 (26), 30, 32, 34, 35, 36, 37, 39, 40, 41, 42, 43, 45, 48, 49, 50, 52, 53, 55, 56, 57, 58, 61, 62, 64, 65, 66, 67, 68, 69, 71, 73, 76, 82, 243, 87, 89, 93, 99, 101, 111 (120), 144, 155, 156. При постройке новых домов будет расширен перечень участков, оплачивающих мусор</t>
  </si>
  <si>
    <t>**подлежит включению в квитанции 6 участков доп оплата за снег: 87, 93, 99, 111 (120), 144, 156. При постройке новых домов будет расширен перечень участков, оплачивающих чистку до участка</t>
  </si>
  <si>
    <t xml:space="preserve">Установить взносы на годовой период 2025-2026 в следующем размере: </t>
  </si>
  <si>
    <t>подлежит включению в квитанции 58 участков (перечень выше) - часть членского взноса</t>
  </si>
  <si>
    <t>подлежит включению в квитанции 6 участков (перечень выше) - часть целевого взноса</t>
  </si>
  <si>
    <r>
      <t>Задолженность по взносам за период до 2024 (</t>
    </r>
    <r>
      <rPr>
        <i/>
        <sz val="11"/>
        <color rgb="FF000000"/>
        <rFont val="Calibri"/>
        <family val="2"/>
        <charset val="204"/>
      </rPr>
      <t>в настоящей смете не определена, т.к. исправляются ошибки в учете за прошлые периоды</t>
    </r>
    <r>
      <rPr>
        <sz val="11"/>
        <color rgb="FF000000"/>
        <rFont val="Calibri"/>
        <family val="2"/>
        <charset val="204"/>
      </rPr>
      <t>)</t>
    </r>
  </si>
  <si>
    <t>Членские взносы (распределением к количеству участков к ст.15 сметы)</t>
  </si>
  <si>
    <t>Целевые взносы (распределением к количеству участков к ст.23 сметы)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</si>
</sst>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_р_._-;\-* #,##0.00_р_._-;_-* &quot;-&quot;??_р_._-;_-@_-"/>
    <numFmt numFmtId="166" formatCode="d/m;@"/>
    <numFmt numFmtId="167" formatCode="#,##0.0"/>
  </numFmts>
  <fonts count="56" x14ac:knownFonts="1">
    <font>
      <sz val="11"/>
      <color theme="1"/>
      <name val="Aptos Narrow"/>
      <family val="2"/>
      <charset val="204"/>
      <scheme val="minor"/>
    </font>
    <font>
      <i/>
      <sz val="11"/>
      <color rgb="FF000000"/>
      <name val="Calibri"/>
      <family val="2"/>
      <charset val="204"/>
    </font>
    <font>
      <b/>
      <i/>
      <sz val="11"/>
      <color rgb="FFFF0000"/>
      <name val="Calibri"/>
      <family val="2"/>
      <charset val="204"/>
    </font>
    <font>
      <b/>
      <sz val="11"/>
      <color rgb="FFFF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9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i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color theme="1"/>
      <name val="Aptos Narrow"/>
      <family val="2"/>
      <scheme val="minor"/>
    </font>
    <font>
      <i/>
      <sz val="11"/>
      <color rgb="FFFF0000"/>
      <name val="Calibri"/>
      <family val="2"/>
      <charset val="204"/>
    </font>
    <font>
      <i/>
      <sz val="11"/>
      <color theme="1"/>
      <name val="Aptos Narrow"/>
      <family val="2"/>
      <scheme val="minor"/>
    </font>
    <font>
      <b/>
      <sz val="14"/>
      <color rgb="FFFF0000"/>
      <name val="Calibri"/>
      <family val="2"/>
      <charset val="204"/>
    </font>
    <font>
      <b/>
      <sz val="11"/>
      <color theme="1"/>
      <name val="Aptos Narrow"/>
      <family val="2"/>
      <charset val="204"/>
      <scheme val="minor"/>
    </font>
    <font>
      <b/>
      <sz val="11"/>
      <name val="Calibri"/>
      <family val="2"/>
      <charset val="204"/>
    </font>
    <font>
      <b/>
      <sz val="11"/>
      <color rgb="FFFF0000"/>
      <name val="Aptos Narrow"/>
      <family val="2"/>
      <scheme val="minor"/>
    </font>
    <font>
      <sz val="14"/>
      <color theme="1"/>
      <name val="Aptos"/>
      <family val="2"/>
    </font>
    <font>
      <sz val="11"/>
      <color rgb="FFFF0000"/>
      <name val="Aptos"/>
      <family val="2"/>
    </font>
    <font>
      <sz val="8"/>
      <name val="Aptos Narrow"/>
      <family val="2"/>
      <charset val="204"/>
      <scheme val="minor"/>
    </font>
    <font>
      <sz val="11"/>
      <color rgb="FFFF0000"/>
      <name val="Calibri"/>
      <family val="2"/>
      <charset val="204"/>
    </font>
    <font>
      <sz val="11"/>
      <color rgb="FFFF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  <charset val="204"/>
    </font>
    <font>
      <sz val="11"/>
      <name val="Aptos"/>
      <family val="2"/>
    </font>
    <font>
      <sz val="11"/>
      <color theme="1"/>
      <name val="Aptos Narrow"/>
      <family val="2"/>
      <charset val="204"/>
      <scheme val="minor"/>
    </font>
    <font>
      <sz val="11"/>
      <name val="Aptos Narrow"/>
      <family val="2"/>
      <charset val="204"/>
      <scheme val="minor"/>
    </font>
    <font>
      <sz val="12"/>
      <color theme="1"/>
      <name val="Aptos Narrow"/>
      <family val="2"/>
      <charset val="204"/>
      <scheme val="minor"/>
    </font>
    <font>
      <sz val="18"/>
      <color theme="1"/>
      <name val="Arial Narrow"/>
      <family val="2"/>
      <charset val="204"/>
    </font>
    <font>
      <b/>
      <sz val="18"/>
      <color theme="1"/>
      <name val="Arial Narrow"/>
      <family val="2"/>
      <charset val="204"/>
    </font>
    <font>
      <b/>
      <sz val="18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theme="1"/>
      <name val="Aptos Narrow"/>
      <family val="2"/>
      <charset val="204"/>
      <scheme val="minor"/>
    </font>
    <font>
      <sz val="18"/>
      <color indexed="8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Aptos Narrow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11"/>
      <color theme="1"/>
      <name val="Aptos Narrow"/>
      <family val="2"/>
      <charset val="204"/>
      <scheme val="minor"/>
    </font>
    <font>
      <b/>
      <sz val="10"/>
      <color rgb="FF000000"/>
      <name val="Calibri"/>
      <family val="2"/>
      <charset val="204"/>
    </font>
    <font>
      <b/>
      <u/>
      <sz val="11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i/>
      <sz val="10"/>
      <name val="Calibri"/>
      <family val="2"/>
      <charset val="204"/>
    </font>
    <font>
      <i/>
      <sz val="10"/>
      <color rgb="FF000000"/>
      <name val="Calibri"/>
      <family val="2"/>
      <charset val="204"/>
    </font>
    <font>
      <sz val="11"/>
      <color theme="1"/>
      <name val="Aptos"/>
      <family val="2"/>
    </font>
    <font>
      <sz val="11"/>
      <color rgb="FFFF0000"/>
      <name val="Aptos Narrow"/>
      <family val="2"/>
    </font>
    <font>
      <b/>
      <sz val="11"/>
      <color rgb="FFFF0000"/>
      <name val="Aptos Narrow"/>
      <family val="2"/>
    </font>
    <font>
      <b/>
      <sz val="14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i/>
      <sz val="11"/>
      <color rgb="FF000000"/>
      <name val="Calibri"/>
      <family val="2"/>
      <charset val="204"/>
    </font>
    <font>
      <sz val="1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0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25" fillId="0" borderId="0"/>
    <xf numFmtId="0" fontId="28" fillId="0" borderId="0"/>
    <xf numFmtId="165" fontId="25" fillId="0" borderId="0" applyFont="0" applyFill="0" applyBorder="0" applyAlignment="0" applyProtection="0"/>
  </cellStyleXfs>
  <cellXfs count="402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4" fontId="0" fillId="0" borderId="0" xfId="0" applyNumberFormat="1"/>
    <xf numFmtId="4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4" fontId="3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8" fillId="2" borderId="0" xfId="0" applyFont="1" applyFill="1" applyAlignment="1">
      <alignment vertical="top"/>
    </xf>
    <xf numFmtId="0" fontId="11" fillId="2" borderId="0" xfId="0" applyFont="1" applyFill="1" applyAlignment="1">
      <alignment vertical="top"/>
    </xf>
    <xf numFmtId="0" fontId="8" fillId="0" borderId="1" xfId="0" applyFont="1" applyBorder="1" applyAlignment="1">
      <alignment vertical="top"/>
    </xf>
    <xf numFmtId="4" fontId="0" fillId="2" borderId="1" xfId="0" applyNumberFormat="1" applyFill="1" applyBorder="1" applyAlignment="1">
      <alignment horizontal="center" vertical="top" wrapText="1"/>
    </xf>
    <xf numFmtId="4" fontId="0" fillId="2" borderId="0" xfId="0" applyNumberFormat="1" applyFill="1" applyAlignment="1">
      <alignment vertical="top"/>
    </xf>
    <xf numFmtId="4" fontId="5" fillId="2" borderId="0" xfId="0" applyNumberFormat="1" applyFont="1" applyFill="1" applyAlignment="1">
      <alignment vertical="top"/>
    </xf>
    <xf numFmtId="0" fontId="0" fillId="0" borderId="0" xfId="0" applyAlignment="1">
      <alignment horizontal="center"/>
    </xf>
    <xf numFmtId="4" fontId="13" fillId="0" borderId="0" xfId="0" applyNumberFormat="1" applyFont="1"/>
    <xf numFmtId="0" fontId="8" fillId="0" borderId="1" xfId="0" applyFont="1" applyBorder="1" applyAlignment="1">
      <alignment horizontal="center" vertical="top"/>
    </xf>
    <xf numFmtId="4" fontId="8" fillId="0" borderId="1" xfId="0" applyNumberFormat="1" applyFont="1" applyBorder="1" applyAlignment="1">
      <alignment vertical="top"/>
    </xf>
    <xf numFmtId="4" fontId="14" fillId="0" borderId="1" xfId="0" applyNumberFormat="1" applyFont="1" applyBorder="1" applyAlignment="1">
      <alignment vertical="top"/>
    </xf>
    <xf numFmtId="4" fontId="8" fillId="0" borderId="2" xfId="0" applyNumberFormat="1" applyFont="1" applyBorder="1" applyAlignment="1">
      <alignment vertical="top"/>
    </xf>
    <xf numFmtId="4" fontId="0" fillId="4" borderId="1" xfId="0" applyNumberFormat="1" applyFill="1" applyBorder="1" applyAlignment="1">
      <alignment vertical="top"/>
    </xf>
    <xf numFmtId="4" fontId="13" fillId="2" borderId="0" xfId="0" applyNumberFormat="1" applyFont="1" applyFill="1" applyAlignment="1">
      <alignment vertical="top"/>
    </xf>
    <xf numFmtId="0" fontId="8" fillId="0" borderId="6" xfId="0" applyFont="1" applyBorder="1" applyAlignment="1">
      <alignment vertical="top" wrapText="1"/>
    </xf>
    <xf numFmtId="0" fontId="8" fillId="0" borderId="11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0" fontId="8" fillId="0" borderId="15" xfId="0" applyFont="1" applyBorder="1" applyAlignment="1">
      <alignment vertical="top" wrapText="1"/>
    </xf>
    <xf numFmtId="0" fontId="8" fillId="0" borderId="10" xfId="0" applyFont="1" applyBorder="1" applyAlignment="1">
      <alignment horizontal="center" vertical="top"/>
    </xf>
    <xf numFmtId="4" fontId="8" fillId="0" borderId="16" xfId="0" applyNumberFormat="1" applyFont="1" applyBorder="1" applyAlignment="1">
      <alignment vertical="top"/>
    </xf>
    <xf numFmtId="4" fontId="14" fillId="0" borderId="10" xfId="0" applyNumberFormat="1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0" fontId="7" fillId="0" borderId="9" xfId="0" applyFont="1" applyBorder="1" applyAlignment="1">
      <alignment horizontal="center" vertical="top"/>
    </xf>
    <xf numFmtId="4" fontId="7" fillId="0" borderId="9" xfId="0" applyNumberFormat="1" applyFont="1" applyBorder="1" applyAlignment="1">
      <alignment vertical="top"/>
    </xf>
    <xf numFmtId="4" fontId="3" fillId="0" borderId="9" xfId="0" applyNumberFormat="1" applyFont="1" applyBorder="1" applyAlignment="1">
      <alignment vertical="top"/>
    </xf>
    <xf numFmtId="0" fontId="8" fillId="0" borderId="12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4" fontId="3" fillId="0" borderId="3" xfId="0" applyNumberFormat="1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19" xfId="0" applyFont="1" applyBorder="1" applyAlignment="1">
      <alignment horizontal="center" vertical="top"/>
    </xf>
    <xf numFmtId="4" fontId="3" fillId="0" borderId="19" xfId="0" applyNumberFormat="1" applyFont="1" applyBorder="1" applyAlignment="1">
      <alignment vertical="top"/>
    </xf>
    <xf numFmtId="0" fontId="8" fillId="0" borderId="20" xfId="0" applyFont="1" applyBorder="1" applyAlignment="1">
      <alignment vertical="top" wrapText="1"/>
    </xf>
    <xf numFmtId="0" fontId="5" fillId="2" borderId="21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/>
    </xf>
    <xf numFmtId="0" fontId="5" fillId="2" borderId="22" xfId="0" applyFont="1" applyFill="1" applyBorder="1" applyAlignment="1">
      <alignment horizontal="center" vertical="top" wrapText="1"/>
    </xf>
    <xf numFmtId="0" fontId="3" fillId="2" borderId="22" xfId="0" applyFont="1" applyFill="1" applyBorder="1" applyAlignment="1">
      <alignment horizontal="center" vertical="top" wrapText="1"/>
    </xf>
    <xf numFmtId="0" fontId="7" fillId="0" borderId="19" xfId="0" applyFont="1" applyBorder="1" applyAlignment="1">
      <alignment vertical="top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 wrapText="1"/>
    </xf>
    <xf numFmtId="4" fontId="4" fillId="0" borderId="3" xfId="0" applyNumberFormat="1" applyFont="1" applyBorder="1" applyAlignment="1">
      <alignment vertical="top"/>
    </xf>
    <xf numFmtId="0" fontId="12" fillId="2" borderId="0" xfId="0" applyFont="1" applyFill="1" applyAlignment="1">
      <alignment horizontal="center" vertical="top"/>
    </xf>
    <xf numFmtId="0" fontId="16" fillId="2" borderId="0" xfId="0" applyFont="1" applyFill="1" applyAlignment="1">
      <alignment horizontal="right" vertical="top"/>
    </xf>
    <xf numFmtId="4" fontId="16" fillId="2" borderId="0" xfId="0" applyNumberFormat="1" applyFont="1" applyFill="1" applyAlignment="1">
      <alignment vertical="top"/>
    </xf>
    <xf numFmtId="4" fontId="13" fillId="0" borderId="1" xfId="0" applyNumberFormat="1" applyFont="1" applyBorder="1"/>
    <xf numFmtId="4" fontId="7" fillId="0" borderId="24" xfId="0" applyNumberFormat="1" applyFont="1" applyBorder="1" applyAlignment="1">
      <alignment horizontal="center" vertical="top"/>
    </xf>
    <xf numFmtId="0" fontId="17" fillId="0" borderId="0" xfId="0" applyFont="1"/>
    <xf numFmtId="4" fontId="17" fillId="0" borderId="1" xfId="0" applyNumberFormat="1" applyFont="1" applyBorder="1" applyAlignment="1">
      <alignment vertical="top"/>
    </xf>
    <xf numFmtId="0" fontId="8" fillId="0" borderId="10" xfId="0" applyFont="1" applyBorder="1" applyAlignment="1">
      <alignment vertical="top" wrapText="1"/>
    </xf>
    <xf numFmtId="0" fontId="11" fillId="4" borderId="12" xfId="0" applyFont="1" applyFill="1" applyBorder="1" applyAlignment="1">
      <alignment vertical="top"/>
    </xf>
    <xf numFmtId="0" fontId="11" fillId="2" borderId="23" xfId="0" applyFont="1" applyFill="1" applyBorder="1" applyAlignment="1">
      <alignment horizontal="center" vertical="top" wrapText="1"/>
    </xf>
    <xf numFmtId="0" fontId="15" fillId="0" borderId="5" xfId="0" applyFont="1" applyBorder="1"/>
    <xf numFmtId="0" fontId="15" fillId="0" borderId="0" xfId="0" applyFont="1" applyAlignment="1">
      <alignment horizontal="center"/>
    </xf>
    <xf numFmtId="0" fontId="18" fillId="4" borderId="27" xfId="0" applyFont="1" applyFill="1" applyBorder="1" applyAlignment="1">
      <alignment vertical="top"/>
    </xf>
    <xf numFmtId="0" fontId="18" fillId="4" borderId="28" xfId="0" applyFont="1" applyFill="1" applyBorder="1" applyAlignment="1">
      <alignment vertical="top"/>
    </xf>
    <xf numFmtId="0" fontId="18" fillId="4" borderId="28" xfId="0" applyFont="1" applyFill="1" applyBorder="1" applyAlignment="1">
      <alignment horizontal="center" vertical="top"/>
    </xf>
    <xf numFmtId="4" fontId="18" fillId="4" borderId="28" xfId="0" applyNumberFormat="1" applyFont="1" applyFill="1" applyBorder="1" applyAlignment="1">
      <alignment vertical="top"/>
    </xf>
    <xf numFmtId="4" fontId="3" fillId="4" borderId="28" xfId="0" applyNumberFormat="1" applyFont="1" applyFill="1" applyBorder="1" applyAlignment="1">
      <alignment vertical="top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7" fillId="5" borderId="26" xfId="0" applyFont="1" applyFill="1" applyBorder="1" applyAlignment="1">
      <alignment vertical="top"/>
    </xf>
    <xf numFmtId="0" fontId="7" fillId="5" borderId="26" xfId="0" applyFont="1" applyFill="1" applyBorder="1" applyAlignment="1">
      <alignment horizontal="center" vertical="top"/>
    </xf>
    <xf numFmtId="10" fontId="7" fillId="5" borderId="26" xfId="0" applyNumberFormat="1" applyFont="1" applyFill="1" applyBorder="1" applyAlignment="1">
      <alignment vertical="top"/>
    </xf>
    <xf numFmtId="4" fontId="3" fillId="5" borderId="26" xfId="0" applyNumberFormat="1" applyFont="1" applyFill="1" applyBorder="1" applyAlignment="1">
      <alignment vertical="top"/>
    </xf>
    <xf numFmtId="0" fontId="8" fillId="5" borderId="13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vertical="top"/>
    </xf>
    <xf numFmtId="0" fontId="25" fillId="0" borderId="0" xfId="0" applyFont="1"/>
    <xf numFmtId="0" fontId="26" fillId="0" borderId="0" xfId="0" applyFont="1"/>
    <xf numFmtId="0" fontId="0" fillId="0" borderId="0" xfId="0" applyAlignment="1">
      <alignment horizontal="right"/>
    </xf>
    <xf numFmtId="4" fontId="19" fillId="0" borderId="1" xfId="0" applyNumberFormat="1" applyFont="1" applyBorder="1" applyAlignment="1">
      <alignment vertical="top"/>
    </xf>
    <xf numFmtId="0" fontId="10" fillId="0" borderId="0" xfId="0" applyFont="1" applyAlignment="1">
      <alignment horizontal="right"/>
    </xf>
    <xf numFmtId="0" fontId="9" fillId="0" borderId="0" xfId="0" applyFont="1"/>
    <xf numFmtId="0" fontId="1" fillId="2" borderId="0" xfId="0" applyFont="1" applyFill="1" applyAlignment="1">
      <alignment horizontal="left" vertical="top"/>
    </xf>
    <xf numFmtId="0" fontId="9" fillId="0" borderId="0" xfId="0" applyFont="1" applyAlignment="1">
      <alignment wrapText="1"/>
    </xf>
    <xf numFmtId="0" fontId="7" fillId="2" borderId="0" xfId="0" applyFont="1" applyFill="1" applyAlignment="1">
      <alignment vertical="top"/>
    </xf>
    <xf numFmtId="0" fontId="16" fillId="2" borderId="0" xfId="0" applyFont="1" applyFill="1" applyAlignment="1">
      <alignment vertical="top"/>
    </xf>
    <xf numFmtId="0" fontId="16" fillId="2" borderId="0" xfId="0" applyFont="1" applyFill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right" vertical="top"/>
    </xf>
    <xf numFmtId="4" fontId="3" fillId="6" borderId="4" xfId="0" applyNumberFormat="1" applyFont="1" applyFill="1" applyBorder="1" applyAlignment="1">
      <alignment vertical="top"/>
    </xf>
    <xf numFmtId="0" fontId="11" fillId="7" borderId="13" xfId="0" applyFont="1" applyFill="1" applyBorder="1" applyAlignment="1">
      <alignment vertical="top"/>
    </xf>
    <xf numFmtId="0" fontId="8" fillId="6" borderId="13" xfId="0" applyFont="1" applyFill="1" applyBorder="1" applyAlignment="1">
      <alignment vertical="top"/>
    </xf>
    <xf numFmtId="16" fontId="8" fillId="0" borderId="14" xfId="0" applyNumberFormat="1" applyFont="1" applyBorder="1" applyAlignment="1">
      <alignment horizontal="right" vertical="top"/>
    </xf>
    <xf numFmtId="16" fontId="8" fillId="0" borderId="17" xfId="0" applyNumberFormat="1" applyFont="1" applyBorder="1" applyAlignment="1">
      <alignment horizontal="right" vertical="top"/>
    </xf>
    <xf numFmtId="0" fontId="30" fillId="8" borderId="0" xfId="2" applyFont="1" applyFill="1" applyAlignment="1">
      <alignment horizontal="center" vertical="center"/>
    </xf>
    <xf numFmtId="0" fontId="30" fillId="8" borderId="0" xfId="2" applyFont="1" applyFill="1"/>
    <xf numFmtId="4" fontId="30" fillId="8" borderId="0" xfId="2" applyNumberFormat="1" applyFont="1" applyFill="1" applyAlignment="1">
      <alignment horizontal="center" vertical="center"/>
    </xf>
    <xf numFmtId="0" fontId="25" fillId="0" borderId="0" xfId="2"/>
    <xf numFmtId="49" fontId="31" fillId="0" borderId="1" xfId="2" applyNumberFormat="1" applyFont="1" applyBorder="1" applyAlignment="1">
      <alignment horizontal="left" vertical="center"/>
    </xf>
    <xf numFmtId="165" fontId="33" fillId="9" borderId="38" xfId="4" applyFont="1" applyFill="1" applyBorder="1" applyAlignment="1" applyProtection="1">
      <alignment horizontal="center" vertical="center" wrapText="1"/>
      <protection locked="0"/>
    </xf>
    <xf numFmtId="49" fontId="34" fillId="0" borderId="1" xfId="2" applyNumberFormat="1" applyFont="1" applyBorder="1" applyAlignment="1" applyProtection="1">
      <alignment horizontal="center" vertical="center"/>
      <protection locked="0"/>
    </xf>
    <xf numFmtId="0" fontId="34" fillId="0" borderId="1" xfId="2" applyFont="1" applyBorder="1" applyAlignment="1">
      <alignment vertical="center" wrapText="1"/>
    </xf>
    <xf numFmtId="166" fontId="35" fillId="0" borderId="1" xfId="2" applyNumberFormat="1" applyFont="1" applyBorder="1" applyAlignment="1">
      <alignment horizontal="center" vertical="center" wrapText="1"/>
    </xf>
    <xf numFmtId="0" fontId="34" fillId="0" borderId="1" xfId="2" applyFont="1" applyBorder="1" applyAlignment="1">
      <alignment horizontal="center" vertical="center" wrapText="1"/>
    </xf>
    <xf numFmtId="167" fontId="36" fillId="0" borderId="1" xfId="2" applyNumberFormat="1" applyFont="1" applyBorder="1" applyAlignment="1">
      <alignment horizontal="center" vertical="center"/>
    </xf>
    <xf numFmtId="4" fontId="37" fillId="0" borderId="1" xfId="4" applyNumberFormat="1" applyFont="1" applyFill="1" applyBorder="1" applyAlignment="1" applyProtection="1">
      <alignment horizontal="center" vertical="center"/>
      <protection locked="0"/>
    </xf>
    <xf numFmtId="0" fontId="35" fillId="0" borderId="1" xfId="2" applyFont="1" applyBorder="1" applyAlignment="1">
      <alignment horizontal="center" vertical="center" wrapText="1"/>
    </xf>
    <xf numFmtId="0" fontId="31" fillId="0" borderId="1" xfId="2" applyFont="1" applyBorder="1" applyAlignment="1">
      <alignment horizontal="center" vertical="center" wrapText="1"/>
    </xf>
    <xf numFmtId="4" fontId="37" fillId="0" borderId="1" xfId="2" applyNumberFormat="1" applyFont="1" applyBorder="1" applyAlignment="1">
      <alignment horizontal="center" vertical="center"/>
    </xf>
    <xf numFmtId="4" fontId="39" fillId="0" borderId="0" xfId="2" applyNumberFormat="1" applyFont="1"/>
    <xf numFmtId="0" fontId="39" fillId="0" borderId="0" xfId="2" applyFont="1"/>
    <xf numFmtId="0" fontId="7" fillId="0" borderId="3" xfId="0" applyFont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vertical="top" wrapText="1"/>
    </xf>
    <xf numFmtId="0" fontId="7" fillId="5" borderId="35" xfId="0" applyFont="1" applyFill="1" applyBorder="1" applyAlignment="1">
      <alignment vertical="top"/>
    </xf>
    <xf numFmtId="0" fontId="4" fillId="0" borderId="14" xfId="0" applyFont="1" applyBorder="1" applyAlignment="1">
      <alignment vertical="top"/>
    </xf>
    <xf numFmtId="4" fontId="19" fillId="0" borderId="0" xfId="0" applyNumberFormat="1" applyFont="1" applyAlignment="1">
      <alignment wrapText="1"/>
    </xf>
    <xf numFmtId="3" fontId="19" fillId="0" borderId="0" xfId="0" applyNumberFormat="1" applyFont="1"/>
    <xf numFmtId="0" fontId="13" fillId="0" borderId="0" xfId="0" applyFont="1"/>
    <xf numFmtId="4" fontId="0" fillId="10" borderId="1" xfId="0" applyNumberFormat="1" applyFill="1" applyBorder="1" applyAlignment="1">
      <alignment vertical="top"/>
    </xf>
    <xf numFmtId="0" fontId="0" fillId="10" borderId="1" xfId="0" applyFill="1" applyBorder="1"/>
    <xf numFmtId="4" fontId="0" fillId="0" borderId="0" xfId="0" applyNumberFormat="1" applyAlignment="1">
      <alignment vertical="top"/>
    </xf>
    <xf numFmtId="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right"/>
    </xf>
    <xf numFmtId="0" fontId="4" fillId="0" borderId="3" xfId="0" applyFont="1" applyBorder="1" applyAlignment="1">
      <alignment vertical="top" wrapText="1"/>
    </xf>
    <xf numFmtId="0" fontId="15" fillId="0" borderId="36" xfId="0" applyFont="1" applyBorder="1" applyAlignment="1">
      <alignment wrapText="1"/>
    </xf>
    <xf numFmtId="0" fontId="15" fillId="0" borderId="31" xfId="0" applyFont="1" applyBorder="1" applyAlignment="1">
      <alignment wrapText="1"/>
    </xf>
    <xf numFmtId="0" fontId="0" fillId="0" borderId="34" xfId="0" applyBorder="1"/>
    <xf numFmtId="0" fontId="15" fillId="0" borderId="0" xfId="0" applyFont="1" applyAlignment="1">
      <alignment horizontal="left" wrapText="1"/>
    </xf>
    <xf numFmtId="0" fontId="15" fillId="11" borderId="36" xfId="0" applyFont="1" applyFill="1" applyBorder="1" applyAlignment="1">
      <alignment wrapText="1"/>
    </xf>
    <xf numFmtId="0" fontId="15" fillId="11" borderId="31" xfId="0" applyFont="1" applyFill="1" applyBorder="1" applyAlignment="1">
      <alignment horizontal="center"/>
    </xf>
    <xf numFmtId="0" fontId="15" fillId="11" borderId="37" xfId="0" applyFont="1" applyFill="1" applyBorder="1" applyAlignment="1">
      <alignment horizontal="center"/>
    </xf>
    <xf numFmtId="0" fontId="15" fillId="11" borderId="34" xfId="0" applyFont="1" applyFill="1" applyBorder="1" applyAlignment="1">
      <alignment horizontal="left"/>
    </xf>
    <xf numFmtId="4" fontId="15" fillId="11" borderId="1" xfId="0" applyNumberFormat="1" applyFont="1" applyFill="1" applyBorder="1"/>
    <xf numFmtId="0" fontId="15" fillId="11" borderId="1" xfId="0" applyFont="1" applyFill="1" applyBorder="1"/>
    <xf numFmtId="0" fontId="15" fillId="11" borderId="38" xfId="0" applyFont="1" applyFill="1" applyBorder="1"/>
    <xf numFmtId="4" fontId="0" fillId="0" borderId="0" xfId="0" applyNumberFormat="1" applyAlignment="1">
      <alignment horizontal="center"/>
    </xf>
    <xf numFmtId="0" fontId="27" fillId="0" borderId="0" xfId="0" applyFont="1" applyAlignment="1">
      <alignment horizontal="center" vertical="top" wrapText="1"/>
    </xf>
    <xf numFmtId="4" fontId="27" fillId="0" borderId="0" xfId="0" applyNumberFormat="1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vertical="top"/>
    </xf>
    <xf numFmtId="0" fontId="0" fillId="4" borderId="2" xfId="0" applyFill="1" applyBorder="1" applyAlignment="1">
      <alignment horizontal="left"/>
    </xf>
    <xf numFmtId="0" fontId="0" fillId="4" borderId="32" xfId="0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3" fontId="0" fillId="0" borderId="0" xfId="0" applyNumberFormat="1"/>
    <xf numFmtId="3" fontId="13" fillId="0" borderId="0" xfId="0" applyNumberFormat="1" applyFont="1"/>
    <xf numFmtId="0" fontId="13" fillId="4" borderId="38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4" fontId="0" fillId="4" borderId="1" xfId="0" applyNumberFormat="1" applyFill="1" applyBorder="1"/>
    <xf numFmtId="0" fontId="0" fillId="4" borderId="1" xfId="0" applyFill="1" applyBorder="1"/>
    <xf numFmtId="0" fontId="13" fillId="4" borderId="1" xfId="0" applyFont="1" applyFill="1" applyBorder="1"/>
    <xf numFmtId="0" fontId="13" fillId="4" borderId="38" xfId="0" applyFont="1" applyFill="1" applyBorder="1"/>
    <xf numFmtId="4" fontId="0" fillId="4" borderId="38" xfId="0" applyNumberFormat="1" applyFill="1" applyBorder="1"/>
    <xf numFmtId="0" fontId="0" fillId="4" borderId="2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right"/>
    </xf>
    <xf numFmtId="0" fontId="19" fillId="0" borderId="2" xfId="0" applyFont="1" applyBorder="1" applyAlignment="1">
      <alignment horizontal="left"/>
    </xf>
    <xf numFmtId="0" fontId="19" fillId="0" borderId="32" xfId="0" applyFont="1" applyBorder="1" applyAlignment="1">
      <alignment horizontal="center"/>
    </xf>
    <xf numFmtId="0" fontId="19" fillId="0" borderId="33" xfId="0" applyFont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/>
    <xf numFmtId="4" fontId="19" fillId="0" borderId="38" xfId="0" applyNumberFormat="1" applyFont="1" applyBorder="1"/>
    <xf numFmtId="0" fontId="0" fillId="0" borderId="2" xfId="0" applyBorder="1"/>
    <xf numFmtId="0" fontId="19" fillId="0" borderId="44" xfId="0" applyFont="1" applyBorder="1" applyAlignment="1">
      <alignment horizontal="center"/>
    </xf>
    <xf numFmtId="0" fontId="0" fillId="0" borderId="3" xfId="0" applyBorder="1"/>
    <xf numFmtId="4" fontId="19" fillId="0" borderId="32" xfId="0" applyNumberFormat="1" applyFont="1" applyBorder="1"/>
    <xf numFmtId="4" fontId="19" fillId="0" borderId="44" xfId="0" applyNumberFormat="1" applyFont="1" applyBorder="1" applyAlignment="1">
      <alignment horizontal="right"/>
    </xf>
    <xf numFmtId="0" fontId="7" fillId="0" borderId="49" xfId="0" applyFont="1" applyBorder="1" applyAlignment="1">
      <alignment vertical="top"/>
    </xf>
    <xf numFmtId="0" fontId="7" fillId="0" borderId="1" xfId="0" applyFont="1" applyBorder="1" applyAlignment="1">
      <alignment vertical="top" wrapText="1"/>
    </xf>
    <xf numFmtId="0" fontId="7" fillId="0" borderId="14" xfId="0" applyFont="1" applyBorder="1" applyAlignment="1">
      <alignment vertical="top"/>
    </xf>
    <xf numFmtId="4" fontId="7" fillId="0" borderId="52" xfId="0" applyNumberFormat="1" applyFont="1" applyBorder="1" applyAlignment="1">
      <alignment vertical="top"/>
    </xf>
    <xf numFmtId="0" fontId="8" fillId="0" borderId="52" xfId="0" applyFont="1" applyBorder="1" applyAlignment="1">
      <alignment vertical="top" wrapText="1"/>
    </xf>
    <xf numFmtId="0" fontId="7" fillId="0" borderId="3" xfId="0" applyFont="1" applyBorder="1" applyAlignment="1">
      <alignment vertical="top"/>
    </xf>
    <xf numFmtId="0" fontId="29" fillId="0" borderId="44" xfId="0" applyFont="1" applyBorder="1"/>
    <xf numFmtId="0" fontId="0" fillId="0" borderId="44" xfId="0" applyBorder="1"/>
    <xf numFmtId="4" fontId="19" fillId="0" borderId="44" xfId="0" applyNumberFormat="1" applyFont="1" applyBorder="1"/>
    <xf numFmtId="0" fontId="0" fillId="0" borderId="54" xfId="0" applyBorder="1"/>
    <xf numFmtId="0" fontId="7" fillId="5" borderId="48" xfId="0" applyFont="1" applyFill="1" applyBorder="1" applyAlignment="1">
      <alignment horizontal="right" vertical="top"/>
    </xf>
    <xf numFmtId="0" fontId="7" fillId="5" borderId="50" xfId="0" applyFont="1" applyFill="1" applyBorder="1" applyAlignment="1">
      <alignment vertical="top" wrapText="1"/>
    </xf>
    <xf numFmtId="0" fontId="7" fillId="5" borderId="50" xfId="0" applyFont="1" applyFill="1" applyBorder="1" applyAlignment="1">
      <alignment horizontal="center" vertical="top"/>
    </xf>
    <xf numFmtId="4" fontId="7" fillId="5" borderId="51" xfId="0" applyNumberFormat="1" applyFont="1" applyFill="1" applyBorder="1" applyAlignment="1">
      <alignment vertical="top"/>
    </xf>
    <xf numFmtId="4" fontId="3" fillId="5" borderId="50" xfId="0" applyNumberFormat="1" applyFont="1" applyFill="1" applyBorder="1" applyAlignment="1">
      <alignment vertical="top"/>
    </xf>
    <xf numFmtId="0" fontId="8" fillId="5" borderId="53" xfId="0" applyFont="1" applyFill="1" applyBorder="1" applyAlignment="1">
      <alignment vertical="top" wrapText="1"/>
    </xf>
    <xf numFmtId="4" fontId="7" fillId="0" borderId="3" xfId="0" applyNumberFormat="1" applyFont="1" applyBorder="1" applyAlignment="1">
      <alignment vertical="top"/>
    </xf>
    <xf numFmtId="4" fontId="7" fillId="0" borderId="3" xfId="0" applyNumberFormat="1" applyFont="1" applyBorder="1" applyAlignment="1">
      <alignment horizontal="right" vertical="top"/>
    </xf>
    <xf numFmtId="164" fontId="7" fillId="0" borderId="3" xfId="0" applyNumberFormat="1" applyFont="1" applyBorder="1" applyAlignment="1">
      <alignment vertical="top"/>
    </xf>
    <xf numFmtId="0" fontId="7" fillId="0" borderId="46" xfId="0" applyFont="1" applyBorder="1" applyAlignment="1">
      <alignment vertical="top"/>
    </xf>
    <xf numFmtId="0" fontId="7" fillId="0" borderId="40" xfId="0" applyFont="1" applyBorder="1" applyAlignment="1">
      <alignment vertical="top" wrapText="1"/>
    </xf>
    <xf numFmtId="0" fontId="7" fillId="0" borderId="40" xfId="0" applyFont="1" applyBorder="1" applyAlignment="1">
      <alignment horizontal="center" vertical="top"/>
    </xf>
    <xf numFmtId="4" fontId="3" fillId="0" borderId="40" xfId="0" applyNumberFormat="1" applyFont="1" applyBorder="1" applyAlignment="1">
      <alignment vertical="top"/>
    </xf>
    <xf numFmtId="0" fontId="8" fillId="0" borderId="55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/>
    </xf>
    <xf numFmtId="0" fontId="0" fillId="3" borderId="0" xfId="0" applyFill="1"/>
    <xf numFmtId="0" fontId="4" fillId="3" borderId="1" xfId="0" applyFont="1" applyFill="1" applyBorder="1" applyAlignment="1">
      <alignment vertical="top" wrapText="1"/>
    </xf>
    <xf numFmtId="0" fontId="7" fillId="3" borderId="1" xfId="0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vertical="top"/>
    </xf>
    <xf numFmtId="4" fontId="0" fillId="3" borderId="1" xfId="0" applyNumberFormat="1" applyFill="1" applyBorder="1" applyAlignment="1">
      <alignment vertical="top"/>
    </xf>
    <xf numFmtId="4" fontId="7" fillId="0" borderId="40" xfId="0" applyNumberFormat="1" applyFont="1" applyBorder="1" applyAlignment="1">
      <alignment horizontal="right" vertical="top"/>
    </xf>
    <xf numFmtId="4" fontId="13" fillId="3" borderId="1" xfId="0" applyNumberFormat="1" applyFont="1" applyFill="1" applyBorder="1" applyAlignment="1">
      <alignment vertical="top"/>
    </xf>
    <xf numFmtId="0" fontId="0" fillId="3" borderId="0" xfId="0" applyFill="1" applyAlignment="1">
      <alignment wrapText="1"/>
    </xf>
    <xf numFmtId="0" fontId="4" fillId="3" borderId="1" xfId="0" applyFont="1" applyFill="1" applyBorder="1" applyAlignment="1">
      <alignment vertical="top"/>
    </xf>
    <xf numFmtId="4" fontId="3" fillId="3" borderId="1" xfId="0" applyNumberFormat="1" applyFont="1" applyFill="1" applyBorder="1" applyAlignment="1">
      <alignment vertical="top"/>
    </xf>
    <xf numFmtId="0" fontId="8" fillId="3" borderId="1" xfId="0" applyFont="1" applyFill="1" applyBorder="1" applyAlignment="1">
      <alignment vertical="top" wrapText="1"/>
    </xf>
    <xf numFmtId="0" fontId="13" fillId="3" borderId="0" xfId="0" applyFont="1" applyFill="1"/>
    <xf numFmtId="0" fontId="5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center" vertical="top"/>
    </xf>
    <xf numFmtId="4" fontId="5" fillId="0" borderId="1" xfId="0" applyNumberFormat="1" applyFont="1" applyBorder="1" applyAlignment="1">
      <alignment vertical="top"/>
    </xf>
    <xf numFmtId="0" fontId="18" fillId="0" borderId="46" xfId="0" applyFont="1" applyBorder="1" applyAlignment="1">
      <alignment vertical="top"/>
    </xf>
    <xf numFmtId="0" fontId="18" fillId="0" borderId="3" xfId="0" applyFont="1" applyBorder="1" applyAlignment="1">
      <alignment vertical="top" wrapText="1"/>
    </xf>
    <xf numFmtId="0" fontId="18" fillId="0" borderId="3" xfId="0" applyFont="1" applyBorder="1" applyAlignment="1">
      <alignment horizontal="center" vertical="top"/>
    </xf>
    <xf numFmtId="4" fontId="18" fillId="0" borderId="3" xfId="0" applyNumberFormat="1" applyFont="1" applyBorder="1" applyAlignment="1">
      <alignment horizontal="right" vertical="top"/>
    </xf>
    <xf numFmtId="0" fontId="11" fillId="0" borderId="15" xfId="0" applyFont="1" applyBorder="1" applyAlignment="1">
      <alignment vertical="top" wrapText="1"/>
    </xf>
    <xf numFmtId="0" fontId="5" fillId="2" borderId="3" xfId="0" applyFont="1" applyFill="1" applyBorder="1" applyAlignment="1">
      <alignment horizontal="center" vertical="top" wrapText="1"/>
    </xf>
    <xf numFmtId="4" fontId="5" fillId="0" borderId="3" xfId="0" applyNumberFormat="1" applyFont="1" applyBorder="1" applyAlignment="1">
      <alignment vertical="top"/>
    </xf>
    <xf numFmtId="0" fontId="11" fillId="0" borderId="6" xfId="0" applyFont="1" applyBorder="1" applyAlignment="1">
      <alignment vertical="top" wrapText="1"/>
    </xf>
    <xf numFmtId="3" fontId="13" fillId="0" borderId="1" xfId="0" applyNumberFormat="1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5" fillId="2" borderId="3" xfId="0" applyFont="1" applyFill="1" applyBorder="1" applyAlignment="1">
      <alignment vertical="top" wrapText="1"/>
    </xf>
    <xf numFmtId="0" fontId="5" fillId="2" borderId="3" xfId="0" applyFont="1" applyFill="1" applyBorder="1" applyAlignment="1">
      <alignment horizontal="center" vertical="top"/>
    </xf>
    <xf numFmtId="0" fontId="27" fillId="0" borderId="0" xfId="0" applyFont="1" applyAlignment="1">
      <alignment vertical="center" wrapText="1"/>
    </xf>
    <xf numFmtId="0" fontId="24" fillId="0" borderId="0" xfId="0" applyFont="1" applyAlignment="1">
      <alignment horizontal="center" wrapText="1"/>
    </xf>
    <xf numFmtId="0" fontId="6" fillId="2" borderId="0" xfId="0" applyFont="1" applyFill="1" applyAlignment="1">
      <alignment vertical="top"/>
    </xf>
    <xf numFmtId="0" fontId="5" fillId="6" borderId="7" xfId="0" applyFont="1" applyFill="1" applyBorder="1" applyAlignment="1">
      <alignment vertical="top"/>
    </xf>
    <xf numFmtId="0" fontId="5" fillId="6" borderId="4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25" fillId="0" borderId="47" xfId="0" applyFont="1" applyBorder="1" applyAlignment="1">
      <alignment horizontal="left" wrapText="1"/>
    </xf>
    <xf numFmtId="4" fontId="0" fillId="2" borderId="38" xfId="0" applyNumberFormat="1" applyFill="1" applyBorder="1" applyAlignment="1">
      <alignment horizontal="center" vertical="top" wrapText="1"/>
    </xf>
    <xf numFmtId="4" fontId="0" fillId="2" borderId="8" xfId="0" applyNumberFormat="1" applyFill="1" applyBorder="1" applyAlignment="1">
      <alignment horizontal="center" vertical="top" wrapText="1"/>
    </xf>
    <xf numFmtId="4" fontId="0" fillId="2" borderId="3" xfId="0" applyNumberFormat="1" applyFill="1" applyBorder="1" applyAlignment="1">
      <alignment horizontal="center" vertical="top" wrapText="1"/>
    </xf>
    <xf numFmtId="0" fontId="5" fillId="2" borderId="39" xfId="0" applyFont="1" applyFill="1" applyBorder="1" applyAlignment="1">
      <alignment horizontal="center" vertical="top"/>
    </xf>
    <xf numFmtId="0" fontId="5" fillId="2" borderId="43" xfId="0" applyFont="1" applyFill="1" applyBorder="1" applyAlignment="1">
      <alignment horizontal="center" vertical="top"/>
    </xf>
    <xf numFmtId="0" fontId="5" fillId="2" borderId="35" xfId="0" applyFont="1" applyFill="1" applyBorder="1" applyAlignment="1">
      <alignment horizontal="center" vertical="top"/>
    </xf>
    <xf numFmtId="0" fontId="9" fillId="0" borderId="0" xfId="0" applyFont="1" applyAlignment="1">
      <alignment horizontal="left" wrapText="1"/>
    </xf>
    <xf numFmtId="0" fontId="9" fillId="3" borderId="0" xfId="0" applyFont="1" applyFill="1" applyAlignment="1">
      <alignment horizontal="left" vertical="top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top"/>
    </xf>
    <xf numFmtId="0" fontId="11" fillId="2" borderId="41" xfId="0" applyFont="1" applyFill="1" applyBorder="1" applyAlignment="1">
      <alignment horizontal="center" vertical="top" wrapText="1"/>
    </xf>
    <xf numFmtId="0" fontId="11" fillId="2" borderId="42" xfId="0" applyFont="1" applyFill="1" applyBorder="1" applyAlignment="1">
      <alignment horizontal="center" vertical="top" wrapText="1"/>
    </xf>
    <xf numFmtId="0" fontId="11" fillId="2" borderId="13" xfId="0" applyFont="1" applyFill="1" applyBorder="1" applyAlignment="1">
      <alignment horizontal="center" vertical="top" wrapText="1"/>
    </xf>
    <xf numFmtId="0" fontId="3" fillId="2" borderId="25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0" fontId="3" fillId="2" borderId="26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top" wrapText="1"/>
    </xf>
    <xf numFmtId="0" fontId="5" fillId="2" borderId="26" xfId="0" applyFont="1" applyFill="1" applyBorder="1" applyAlignment="1">
      <alignment horizontal="center" vertical="top" wrapText="1"/>
    </xf>
    <xf numFmtId="0" fontId="5" fillId="2" borderId="25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center" vertical="top"/>
    </xf>
    <xf numFmtId="0" fontId="38" fillId="0" borderId="2" xfId="2" applyFont="1" applyBorder="1" applyAlignment="1">
      <alignment horizontal="right" vertical="center" wrapText="1"/>
    </xf>
    <xf numFmtId="0" fontId="38" fillId="0" borderId="32" xfId="2" applyFont="1" applyBorder="1" applyAlignment="1">
      <alignment horizontal="right" vertical="center" wrapText="1"/>
    </xf>
    <xf numFmtId="0" fontId="38" fillId="0" borderId="33" xfId="2" applyFont="1" applyBorder="1" applyAlignment="1">
      <alignment horizontal="right" vertical="center" wrapText="1"/>
    </xf>
    <xf numFmtId="0" fontId="32" fillId="0" borderId="2" xfId="2" applyFont="1" applyBorder="1" applyAlignment="1">
      <alignment horizontal="left" vertical="center"/>
    </xf>
    <xf numFmtId="0" fontId="32" fillId="0" borderId="32" xfId="2" applyFont="1" applyBorder="1" applyAlignment="1">
      <alignment horizontal="left" vertical="center"/>
    </xf>
    <xf numFmtId="0" fontId="32" fillId="0" borderId="33" xfId="2" applyFont="1" applyBorder="1" applyAlignment="1">
      <alignment horizontal="left" vertical="center"/>
    </xf>
    <xf numFmtId="0" fontId="33" fillId="0" borderId="4" xfId="2" applyFont="1" applyBorder="1" applyAlignment="1">
      <alignment horizontal="center" vertical="center" wrapText="1"/>
    </xf>
    <xf numFmtId="0" fontId="33" fillId="9" borderId="46" xfId="3" applyFont="1" applyFill="1" applyBorder="1" applyAlignment="1" applyProtection="1">
      <alignment horizontal="center" vertical="center"/>
      <protection locked="0"/>
    </xf>
    <xf numFmtId="0" fontId="33" fillId="9" borderId="45" xfId="3" applyFont="1" applyFill="1" applyBorder="1" applyAlignment="1" applyProtection="1">
      <alignment horizontal="center" vertical="center"/>
      <protection locked="0"/>
    </xf>
    <xf numFmtId="0" fontId="33" fillId="9" borderId="40" xfId="3" applyFont="1" applyFill="1" applyBorder="1" applyAlignment="1" applyProtection="1">
      <alignment horizontal="center" vertical="center" wrapText="1"/>
      <protection locked="0"/>
    </xf>
    <xf numFmtId="0" fontId="33" fillId="9" borderId="38" xfId="3" applyFont="1" applyFill="1" applyBorder="1" applyAlignment="1" applyProtection="1">
      <alignment horizontal="center" vertical="center" wrapText="1"/>
      <protection locked="0"/>
    </xf>
    <xf numFmtId="165" fontId="33" fillId="9" borderId="29" xfId="4" applyFont="1" applyFill="1" applyBorder="1" applyAlignment="1" applyProtection="1">
      <alignment horizontal="center" vertical="center"/>
      <protection locked="0"/>
    </xf>
    <xf numFmtId="165" fontId="33" fillId="9" borderId="30" xfId="4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center" vertical="top"/>
    </xf>
    <xf numFmtId="0" fontId="1" fillId="0" borderId="0" xfId="0" applyFont="1" applyAlignment="1">
      <alignment horizontal="right" vertical="center"/>
    </xf>
    <xf numFmtId="0" fontId="42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43" fillId="4" borderId="56" xfId="0" applyFont="1" applyFill="1" applyBorder="1" applyAlignment="1">
      <alignment horizontal="center" vertical="center" wrapText="1"/>
    </xf>
    <xf numFmtId="0" fontId="43" fillId="4" borderId="57" xfId="0" applyFont="1" applyFill="1" applyBorder="1" applyAlignment="1">
      <alignment horizontal="center" vertical="center" wrapText="1"/>
    </xf>
    <xf numFmtId="0" fontId="43" fillId="4" borderId="58" xfId="0" applyFont="1" applyFill="1" applyBorder="1" applyAlignment="1">
      <alignment horizontal="center" vertical="center" wrapText="1"/>
    </xf>
    <xf numFmtId="0" fontId="43" fillId="4" borderId="57" xfId="0" applyFont="1" applyFill="1" applyBorder="1" applyAlignment="1">
      <alignment horizontal="center" vertical="center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4" fillId="0" borderId="62" xfId="0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3" fontId="7" fillId="0" borderId="64" xfId="0" applyNumberFormat="1" applyFont="1" applyBorder="1" applyAlignment="1">
      <alignment horizontal="right" vertical="center" wrapText="1"/>
    </xf>
    <xf numFmtId="3" fontId="4" fillId="0" borderId="65" xfId="0" applyNumberFormat="1" applyFont="1" applyBorder="1" applyAlignment="1">
      <alignment vertical="center" wrapText="1"/>
    </xf>
    <xf numFmtId="3" fontId="4" fillId="0" borderId="63" xfId="0" applyNumberFormat="1" applyFont="1" applyBorder="1" applyAlignment="1">
      <alignment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vertical="center" wrapText="1"/>
    </xf>
    <xf numFmtId="0" fontId="7" fillId="0" borderId="68" xfId="0" applyFont="1" applyBorder="1" applyAlignment="1">
      <alignment horizontal="right" vertical="center" wrapText="1"/>
    </xf>
    <xf numFmtId="3" fontId="4" fillId="0" borderId="69" xfId="0" applyNumberFormat="1" applyFont="1" applyBorder="1" applyAlignment="1">
      <alignment horizontal="right" vertical="center" wrapText="1"/>
    </xf>
    <xf numFmtId="3" fontId="4" fillId="0" borderId="60" xfId="0" applyNumberFormat="1" applyFont="1" applyBorder="1" applyAlignment="1">
      <alignment horizontal="right" vertical="center" wrapText="1"/>
    </xf>
    <xf numFmtId="0" fontId="4" fillId="0" borderId="66" xfId="0" applyFont="1" applyBorder="1" applyAlignment="1">
      <alignment horizontal="center" vertical="center" wrapText="1"/>
    </xf>
    <xf numFmtId="0" fontId="4" fillId="0" borderId="44" xfId="0" applyFont="1" applyBorder="1" applyAlignment="1">
      <alignment vertical="center" wrapText="1"/>
    </xf>
    <xf numFmtId="3" fontId="7" fillId="0" borderId="70" xfId="0" applyNumberFormat="1" applyFont="1" applyBorder="1" applyAlignment="1">
      <alignment horizontal="right" vertical="center" wrapText="1"/>
    </xf>
    <xf numFmtId="3" fontId="44" fillId="0" borderId="71" xfId="0" applyNumberFormat="1" applyFont="1" applyBorder="1" applyAlignment="1">
      <alignment horizontal="center" vertical="center" wrapText="1"/>
    </xf>
    <xf numFmtId="3" fontId="44" fillId="0" borderId="72" xfId="0" applyNumberFormat="1" applyFont="1" applyBorder="1" applyAlignment="1">
      <alignment horizontal="center" vertical="center" wrapText="1"/>
    </xf>
    <xf numFmtId="3" fontId="7" fillId="0" borderId="44" xfId="0" applyNumberFormat="1" applyFont="1" applyBorder="1" applyAlignment="1">
      <alignment horizontal="right" vertical="center" wrapText="1"/>
    </xf>
    <xf numFmtId="3" fontId="4" fillId="0" borderId="73" xfId="0" applyNumberFormat="1" applyFont="1" applyBorder="1" applyAlignment="1">
      <alignment horizontal="right" vertical="center" wrapText="1"/>
    </xf>
    <xf numFmtId="3" fontId="45" fillId="0" borderId="67" xfId="0" applyNumberFormat="1" applyFont="1" applyBorder="1" applyAlignment="1">
      <alignment horizontal="right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75" xfId="0" applyFont="1" applyBorder="1" applyAlignment="1">
      <alignment vertical="center" wrapText="1"/>
    </xf>
    <xf numFmtId="3" fontId="46" fillId="0" borderId="32" xfId="0" applyNumberFormat="1" applyFont="1" applyBorder="1" applyAlignment="1">
      <alignment horizontal="center" vertical="center" wrapText="1"/>
    </xf>
    <xf numFmtId="3" fontId="47" fillId="0" borderId="70" xfId="0" applyNumberFormat="1" applyFont="1" applyBorder="1" applyAlignment="1">
      <alignment horizontal="center" vertical="center" wrapText="1"/>
    </xf>
    <xf numFmtId="3" fontId="47" fillId="0" borderId="75" xfId="0" applyNumberFormat="1" applyFont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right" vertical="center" wrapText="1"/>
    </xf>
    <xf numFmtId="0" fontId="5" fillId="4" borderId="57" xfId="0" applyFont="1" applyFill="1" applyBorder="1" applyAlignment="1">
      <alignment horizontal="right" vertical="center" wrapText="1"/>
    </xf>
    <xf numFmtId="3" fontId="5" fillId="4" borderId="76" xfId="0" applyNumberFormat="1" applyFont="1" applyFill="1" applyBorder="1" applyAlignment="1">
      <alignment horizontal="right" vertical="center" wrapText="1"/>
    </xf>
    <xf numFmtId="3" fontId="48" fillId="4" borderId="77" xfId="0" applyNumberFormat="1" applyFont="1" applyFill="1" applyBorder="1" applyAlignment="1">
      <alignment vertical="top" wrapText="1"/>
    </xf>
    <xf numFmtId="3" fontId="48" fillId="4" borderId="61" xfId="0" applyNumberFormat="1" applyFont="1" applyFill="1" applyBorder="1" applyAlignment="1">
      <alignment vertical="top" wrapText="1"/>
    </xf>
    <xf numFmtId="0" fontId="5" fillId="4" borderId="78" xfId="0" applyFont="1" applyFill="1" applyBorder="1" applyAlignment="1">
      <alignment horizontal="center" vertical="center" wrapText="1"/>
    </xf>
    <xf numFmtId="0" fontId="5" fillId="4" borderId="79" xfId="0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7" fillId="0" borderId="82" xfId="0" applyFont="1" applyBorder="1" applyAlignment="1">
      <alignment vertical="top" wrapText="1"/>
    </xf>
    <xf numFmtId="3" fontId="4" fillId="0" borderId="83" xfId="0" applyNumberFormat="1" applyFont="1" applyBorder="1" applyAlignment="1">
      <alignment horizontal="right" vertical="center" wrapText="1"/>
    </xf>
    <xf numFmtId="0" fontId="4" fillId="0" borderId="61" xfId="0" applyFont="1" applyBorder="1" applyAlignment="1">
      <alignment vertical="center" wrapText="1"/>
    </xf>
    <xf numFmtId="3" fontId="7" fillId="0" borderId="61" xfId="0" applyNumberFormat="1" applyFont="1" applyBorder="1" applyAlignment="1">
      <alignment horizontal="right" vertical="center" wrapText="1"/>
    </xf>
    <xf numFmtId="0" fontId="4" fillId="12" borderId="61" xfId="0" applyFont="1" applyFill="1" applyBorder="1" applyAlignment="1">
      <alignment vertical="center" wrapText="1"/>
    </xf>
    <xf numFmtId="3" fontId="44" fillId="0" borderId="76" xfId="0" applyNumberFormat="1" applyFont="1" applyBorder="1" applyAlignment="1">
      <alignment horizontal="right" vertical="center" wrapText="1"/>
    </xf>
    <xf numFmtId="3" fontId="1" fillId="0" borderId="85" xfId="0" applyNumberFormat="1" applyFont="1" applyBorder="1" applyAlignment="1">
      <alignment horizontal="center" vertical="center" wrapText="1"/>
    </xf>
    <xf numFmtId="3" fontId="1" fillId="0" borderId="86" xfId="0" applyNumberFormat="1" applyFont="1" applyBorder="1" applyAlignment="1">
      <alignment horizontal="center" vertical="center" wrapText="1"/>
    </xf>
    <xf numFmtId="0" fontId="48" fillId="0" borderId="81" xfId="0" applyFont="1" applyBorder="1" applyAlignment="1">
      <alignment vertical="top" wrapText="1"/>
    </xf>
    <xf numFmtId="0" fontId="5" fillId="0" borderId="61" xfId="0" applyFont="1" applyBorder="1" applyAlignment="1">
      <alignment horizontal="right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3" fontId="45" fillId="0" borderId="83" xfId="0" applyNumberFormat="1" applyFont="1" applyBorder="1" applyAlignment="1">
      <alignment horizontal="right" vertical="center" wrapText="1"/>
    </xf>
    <xf numFmtId="0" fontId="48" fillId="4" borderId="81" xfId="0" applyFont="1" applyFill="1" applyBorder="1" applyAlignment="1">
      <alignment vertical="top" wrapText="1"/>
    </xf>
    <xf numFmtId="0" fontId="5" fillId="4" borderId="61" xfId="0" applyFont="1" applyFill="1" applyBorder="1" applyAlignment="1">
      <alignment horizontal="right" vertical="center" wrapText="1"/>
    </xf>
    <xf numFmtId="3" fontId="5" fillId="4" borderId="61" xfId="0" applyNumberFormat="1" applyFont="1" applyFill="1" applyBorder="1" applyAlignment="1">
      <alignment horizontal="right" vertical="center" wrapText="1"/>
    </xf>
    <xf numFmtId="0" fontId="48" fillId="4" borderId="61" xfId="0" applyFont="1" applyFill="1" applyBorder="1" applyAlignment="1">
      <alignment vertical="top" wrapText="1"/>
    </xf>
    <xf numFmtId="0" fontId="49" fillId="0" borderId="87" xfId="0" applyFont="1" applyBorder="1" applyAlignment="1">
      <alignment horizontal="left" vertical="top" wrapText="1"/>
    </xf>
    <xf numFmtId="0" fontId="49" fillId="0" borderId="87" xfId="0" applyFont="1" applyBorder="1" applyAlignment="1">
      <alignment vertical="top" wrapText="1"/>
    </xf>
    <xf numFmtId="0" fontId="49" fillId="0" borderId="39" xfId="0" applyFont="1" applyBorder="1" applyAlignment="1">
      <alignment vertical="top" wrapText="1"/>
    </xf>
    <xf numFmtId="0" fontId="50" fillId="0" borderId="88" xfId="0" applyFont="1" applyBorder="1" applyAlignment="1">
      <alignment vertical="top" wrapText="1"/>
    </xf>
    <xf numFmtId="0" fontId="49" fillId="0" borderId="89" xfId="0" applyFont="1" applyBorder="1" applyAlignment="1">
      <alignment vertical="top" wrapText="1"/>
    </xf>
    <xf numFmtId="0" fontId="25" fillId="0" borderId="40" xfId="0" applyFont="1" applyBorder="1" applyAlignment="1">
      <alignment horizontal="center"/>
    </xf>
    <xf numFmtId="0" fontId="25" fillId="0" borderId="55" xfId="0" applyFont="1" applyBorder="1" applyAlignment="1">
      <alignment horizontal="center" vertical="center"/>
    </xf>
    <xf numFmtId="0" fontId="49" fillId="0" borderId="14" xfId="0" applyFont="1" applyBorder="1" applyAlignment="1">
      <alignment vertical="top" wrapText="1"/>
    </xf>
    <xf numFmtId="0" fontId="49" fillId="0" borderId="52" xfId="0" applyFont="1" applyBorder="1" applyAlignment="1">
      <alignment horizontal="left" vertical="top" wrapText="1"/>
    </xf>
    <xf numFmtId="0" fontId="49" fillId="0" borderId="90" xfId="0" applyFont="1" applyBorder="1" applyAlignment="1">
      <alignment horizontal="left" vertical="top" wrapText="1"/>
    </xf>
    <xf numFmtId="3" fontId="25" fillId="0" borderId="33" xfId="0" applyNumberFormat="1" applyFont="1" applyBorder="1" applyAlignment="1">
      <alignment vertical="center"/>
    </xf>
    <xf numFmtId="4" fontId="24" fillId="0" borderId="6" xfId="0" applyNumberFormat="1" applyFont="1" applyBorder="1" applyAlignment="1">
      <alignment vertical="center"/>
    </xf>
    <xf numFmtId="0" fontId="49" fillId="0" borderId="45" xfId="0" applyFont="1" applyBorder="1" applyAlignment="1">
      <alignment vertical="top" wrapText="1"/>
    </xf>
    <xf numFmtId="0" fontId="50" fillId="0" borderId="36" xfId="0" applyFont="1" applyBorder="1" applyAlignment="1">
      <alignment vertical="top" wrapText="1"/>
    </xf>
    <xf numFmtId="0" fontId="25" fillId="0" borderId="37" xfId="0" applyFont="1" applyBorder="1"/>
    <xf numFmtId="3" fontId="25" fillId="0" borderId="38" xfId="0" applyNumberFormat="1" applyFont="1" applyBorder="1" applyAlignment="1">
      <alignment horizontal="right" vertical="center"/>
    </xf>
    <xf numFmtId="4" fontId="24" fillId="0" borderId="91" xfId="0" applyNumberFormat="1" applyFont="1" applyBorder="1" applyAlignment="1">
      <alignment horizontal="right" vertical="center"/>
    </xf>
    <xf numFmtId="0" fontId="49" fillId="0" borderId="35" xfId="0" applyFont="1" applyBorder="1" applyAlignment="1">
      <alignment vertical="top" wrapText="1"/>
    </xf>
    <xf numFmtId="0" fontId="49" fillId="0" borderId="92" xfId="0" applyFont="1" applyBorder="1" applyAlignment="1">
      <alignment horizontal="left" vertical="top" wrapText="1"/>
    </xf>
    <xf numFmtId="0" fontId="49" fillId="0" borderId="93" xfId="0" applyFont="1" applyBorder="1" applyAlignment="1">
      <alignment horizontal="left" vertical="top" wrapText="1"/>
    </xf>
    <xf numFmtId="3" fontId="25" fillId="0" borderId="26" xfId="0" applyNumberFormat="1" applyFont="1" applyBorder="1" applyAlignment="1">
      <alignment horizontal="right" vertical="center"/>
    </xf>
    <xf numFmtId="4" fontId="24" fillId="0" borderId="13" xfId="0" applyNumberFormat="1" applyFont="1" applyBorder="1" applyAlignment="1">
      <alignment horizontal="right" vertical="center"/>
    </xf>
    <xf numFmtId="0" fontId="51" fillId="0" borderId="0" xfId="0" applyFont="1" applyAlignment="1">
      <alignment horizontal="left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4" fillId="0" borderId="0" xfId="0" applyFont="1" applyAlignment="1">
      <alignment vertical="top" wrapText="1"/>
    </xf>
    <xf numFmtId="4" fontId="21" fillId="0" borderId="0" xfId="0" applyNumberFormat="1" applyFont="1" applyAlignment="1">
      <alignment vertical="top" wrapText="1"/>
    </xf>
    <xf numFmtId="0" fontId="52" fillId="0" borderId="0" xfId="0" applyFont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vertical="top"/>
    </xf>
    <xf numFmtId="0" fontId="1" fillId="0" borderId="61" xfId="0" applyFont="1" applyBorder="1" applyAlignment="1">
      <alignment vertical="center" wrapText="1"/>
    </xf>
    <xf numFmtId="3" fontId="8" fillId="0" borderId="61" xfId="0" applyNumberFormat="1" applyFont="1" applyBorder="1" applyAlignment="1">
      <alignment horizontal="right" vertical="center" wrapText="1"/>
    </xf>
    <xf numFmtId="3" fontId="1" fillId="0" borderId="83" xfId="0" applyNumberFormat="1" applyFont="1" applyBorder="1" applyAlignment="1">
      <alignment horizontal="right" vertical="center" wrapText="1"/>
    </xf>
    <xf numFmtId="0" fontId="0" fillId="0" borderId="0" xfId="0" applyFont="1"/>
    <xf numFmtId="3" fontId="1" fillId="0" borderId="84" xfId="0" applyNumberFormat="1" applyFont="1" applyBorder="1" applyAlignment="1">
      <alignment horizontal="right" vertical="center" wrapText="1"/>
    </xf>
    <xf numFmtId="3" fontId="44" fillId="0" borderId="61" xfId="0" applyNumberFormat="1" applyFont="1" applyBorder="1" applyAlignment="1">
      <alignment horizontal="right" vertical="center" wrapText="1"/>
    </xf>
    <xf numFmtId="0" fontId="52" fillId="0" borderId="39" xfId="0" applyFont="1" applyFill="1" applyBorder="1" applyAlignment="1">
      <alignment horizontal="center" vertical="center"/>
    </xf>
    <xf numFmtId="0" fontId="52" fillId="0" borderId="29" xfId="0" applyFont="1" applyFill="1" applyBorder="1" applyAlignment="1">
      <alignment horizontal="center"/>
    </xf>
    <xf numFmtId="0" fontId="52" fillId="0" borderId="94" xfId="0" applyFont="1" applyFill="1" applyBorder="1" applyAlignment="1">
      <alignment horizontal="center"/>
    </xf>
    <xf numFmtId="0" fontId="52" fillId="0" borderId="95" xfId="0" applyFont="1" applyFill="1" applyBorder="1" applyAlignment="1">
      <alignment horizontal="center"/>
    </xf>
    <xf numFmtId="0" fontId="52" fillId="0" borderId="14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/>
    </xf>
    <xf numFmtId="0" fontId="52" fillId="0" borderId="6" xfId="0" applyFont="1" applyFill="1" applyBorder="1" applyAlignment="1">
      <alignment horizontal="center"/>
    </xf>
    <xf numFmtId="0" fontId="53" fillId="0" borderId="49" xfId="0" applyFont="1" applyFill="1" applyBorder="1" applyAlignment="1">
      <alignment horizontal="center"/>
    </xf>
    <xf numFmtId="4" fontId="52" fillId="0" borderId="1" xfId="0" applyNumberFormat="1" applyFont="1" applyFill="1" applyBorder="1"/>
    <xf numFmtId="4" fontId="52" fillId="0" borderId="6" xfId="0" applyNumberFormat="1" applyFont="1" applyFill="1" applyBorder="1"/>
    <xf numFmtId="0" fontId="53" fillId="0" borderId="96" xfId="0" applyFont="1" applyFill="1" applyBorder="1" applyAlignment="1">
      <alignment horizontal="center"/>
    </xf>
    <xf numFmtId="4" fontId="52" fillId="0" borderId="97" xfId="0" applyNumberFormat="1" applyFont="1" applyFill="1" applyBorder="1"/>
    <xf numFmtId="4" fontId="52" fillId="0" borderId="98" xfId="0" applyNumberFormat="1" applyFont="1" applyFill="1" applyBorder="1"/>
    <xf numFmtId="0" fontId="52" fillId="0" borderId="5" xfId="0" applyFont="1" applyFill="1" applyBorder="1" applyAlignment="1">
      <alignment horizontal="right"/>
    </xf>
    <xf numFmtId="0" fontId="52" fillId="0" borderId="89" xfId="0" applyFont="1" applyFill="1" applyBorder="1" applyAlignment="1">
      <alignment horizontal="right"/>
    </xf>
    <xf numFmtId="0" fontId="53" fillId="0" borderId="0" xfId="0" applyFont="1" applyFill="1"/>
    <xf numFmtId="0" fontId="55" fillId="0" borderId="46" xfId="0" applyFont="1" applyFill="1" applyBorder="1" applyAlignment="1">
      <alignment vertical="center" wrapText="1"/>
    </xf>
    <xf numFmtId="0" fontId="53" fillId="0" borderId="25" xfId="0" applyFont="1" applyFill="1" applyBorder="1" applyAlignment="1">
      <alignment vertical="center" wrapText="1"/>
    </xf>
    <xf numFmtId="4" fontId="53" fillId="0" borderId="40" xfId="0" applyNumberFormat="1" applyFont="1" applyFill="1" applyBorder="1" applyAlignment="1">
      <alignment vertical="center" wrapText="1"/>
    </xf>
    <xf numFmtId="0" fontId="53" fillId="0" borderId="99" xfId="0" applyFont="1" applyFill="1" applyBorder="1" applyAlignment="1">
      <alignment vertical="center" wrapText="1"/>
    </xf>
    <xf numFmtId="0" fontId="55" fillId="0" borderId="35" xfId="0" applyFont="1" applyFill="1" applyBorder="1" applyAlignment="1">
      <alignment vertical="top" wrapText="1"/>
    </xf>
    <xf numFmtId="0" fontId="53" fillId="0" borderId="97" xfId="0" applyFont="1" applyFill="1" applyBorder="1" applyAlignment="1">
      <alignment vertical="center" wrapText="1"/>
    </xf>
    <xf numFmtId="0" fontId="53" fillId="0" borderId="26" xfId="0" applyFont="1" applyFill="1" applyBorder="1" applyAlignment="1">
      <alignment vertical="top" wrapText="1"/>
    </xf>
    <xf numFmtId="4" fontId="53" fillId="0" borderId="26" xfId="0" applyNumberFormat="1" applyFont="1" applyFill="1" applyBorder="1" applyAlignment="1">
      <alignment vertical="top" wrapText="1"/>
    </xf>
    <xf numFmtId="0" fontId="53" fillId="0" borderId="100" xfId="0" applyFont="1" applyFill="1" applyBorder="1" applyAlignment="1">
      <alignment vertical="top" wrapText="1"/>
    </xf>
    <xf numFmtId="4" fontId="5" fillId="4" borderId="61" xfId="0" applyNumberFormat="1" applyFont="1" applyFill="1" applyBorder="1" applyAlignment="1">
      <alignment horizontal="right" vertical="center" wrapText="1"/>
    </xf>
    <xf numFmtId="4" fontId="5" fillId="0" borderId="61" xfId="0" applyNumberFormat="1" applyFont="1" applyBorder="1" applyAlignment="1">
      <alignment horizontal="right" vertical="center" wrapText="1"/>
    </xf>
    <xf numFmtId="16" fontId="54" fillId="0" borderId="81" xfId="0" applyNumberFormat="1" applyFont="1" applyBorder="1" applyAlignment="1">
      <alignment horizontal="right" vertical="center" wrapText="1"/>
    </xf>
  </cellXfs>
  <cellStyles count="5">
    <cellStyle name="Обычный" xfId="0" builtinId="0"/>
    <cellStyle name="Обычный 2" xfId="1" xr:uid="{C0763CE8-DB5A-41E8-BDD2-2C5F80C0B74A}"/>
    <cellStyle name="Обычный 3" xfId="2" xr:uid="{5ECDC201-8CA8-4A3B-BDAE-96D8D8F662E2}"/>
    <cellStyle name="Обычный 3 2" xfId="3" xr:uid="{E091C3BA-9C18-423C-9B2D-058C5F66A0F3}"/>
    <cellStyle name="Финансовый 2" xfId="4" xr:uid="{2AB6E99D-FAB4-492F-908D-C63C2979EF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6;&#1072;&#1079;&#1076;&#1086;&#1083;&#1100;&#1077;\&#1055;&#1056;&#1054;&#1058;&#1054;&#1050;&#1054;&#1051;&#1067;\&#1057;&#1086;&#1073;&#1088;&#1072;&#1085;&#1080;&#1077;%2025.08.24_&#1055;&#1088;&#1086;&#1090;&#1086;&#1082;&#1086;&#1083;%209%20&#1086;&#1090;%2025.08.24\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Relationship Id="rId1" Type="http://schemas.openxmlformats.org/officeDocument/2006/relationships/externalLinkPath" Target="/Users/User/Desktop/&#1056;&#1072;&#1079;&#1076;&#1086;&#1083;&#1100;&#1077;/&#1055;&#1056;&#1054;&#1058;&#1054;&#1050;&#1054;&#1051;&#1067;/&#1057;&#1086;&#1073;&#1088;&#1072;&#1085;&#1080;&#1077;%2025.08.24_&#1055;&#1088;&#1086;&#1090;&#1086;&#1082;&#1086;&#1083;%209%20&#1086;&#1090;%2025.08.24/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6;&#1072;&#1079;&#1076;&#1086;&#1083;&#1100;&#1077;\&#1055;&#1056;&#1054;&#1058;&#1054;&#1050;&#1054;&#1051;&#1067;\&#1057;&#1086;&#1073;&#1088;&#1072;&#1085;&#1080;&#1077;%2013.06.25\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Relationship Id="rId1" Type="http://schemas.openxmlformats.org/officeDocument/2006/relationships/externalLinkPath" Target="/Users/User/Desktop/&#1056;&#1072;&#1079;&#1076;&#1086;&#1083;&#1100;&#1077;/&#1055;&#1056;&#1054;&#1058;&#1054;&#1050;&#1054;&#1051;&#1067;/&#1057;&#1086;&#1073;&#1088;&#1072;&#1085;&#1080;&#1077;%2013.06.25/&#1057;&#1084;&#1077;&#1090;&#1072;+&#1060;&#1069;&#1054;%202024-2025%20&#1087;&#1086;%20&#1080;&#1090;&#1086;&#1075;&#1091;%20&#1054;&#1057;&#1057;%2025.08.24%20&#1087;&#1086;%20&#1055;&#1088;&#1086;&#1090;&#1086;&#1082;&#1086;&#1083;%209%20&#1086;&#1090;%2025.08.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Смета 2024-2025"/>
      <sheetName val="ФЭО к смете 2024-2025_v2"/>
    </sheetNames>
    <sheetDataSet>
      <sheetData sheetId="0">
        <row r="64">
          <cell r="C64">
            <v>1640.9268269604802</v>
          </cell>
          <cell r="D64">
            <v>551.91674185899365</v>
          </cell>
          <cell r="E64">
            <v>2192.8435688194741</v>
          </cell>
        </row>
        <row r="65">
          <cell r="C65">
            <v>1079.7401089887953</v>
          </cell>
          <cell r="D65">
            <v>406.0801197614785</v>
          </cell>
          <cell r="E65">
            <v>1485.8202287502738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Смета 2024-2025"/>
      <sheetName val="ФЭО к смете 2024-2025_v2"/>
      <sheetName val="ФЭО к смете 2024-2025_v2 (2)"/>
    </sheetNames>
    <sheetDataSet>
      <sheetData sheetId="0" refreshError="1"/>
      <sheetData sheetId="1">
        <row r="2">
          <cell r="M2">
            <v>1094.1099999999999</v>
          </cell>
          <cell r="N2">
            <v>1783.25</v>
          </cell>
          <cell r="O2">
            <v>2877.3599999999997</v>
          </cell>
        </row>
        <row r="19">
          <cell r="A19">
            <v>1</v>
          </cell>
        </row>
        <row r="35">
          <cell r="B35" t="str">
            <v>Вывоз мусора*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1BB58-4FF1-4FA8-8A5F-625810EBFFE9}">
  <dimension ref="A1:G97"/>
  <sheetViews>
    <sheetView tabSelected="1" zoomScale="110" zoomScaleNormal="110" workbookViewId="0">
      <selection activeCell="G12" sqref="G12"/>
    </sheetView>
  </sheetViews>
  <sheetFormatPr defaultRowHeight="14.4" x14ac:dyDescent="0.3"/>
  <cols>
    <col min="1" max="1" width="9" customWidth="1"/>
    <col min="2" max="2" width="44.33203125" customWidth="1"/>
    <col min="3" max="3" width="13.5546875" customWidth="1"/>
    <col min="4" max="4" width="11.88671875" customWidth="1"/>
    <col min="5" max="5" width="11.44140625" customWidth="1"/>
    <col min="6" max="6" width="12.44140625" customWidth="1"/>
  </cols>
  <sheetData>
    <row r="1" spans="1:6" x14ac:dyDescent="0.3">
      <c r="A1" s="4"/>
      <c r="B1" s="4" t="s">
        <v>201</v>
      </c>
      <c r="C1" s="273"/>
      <c r="D1" s="274"/>
      <c r="E1" s="274"/>
      <c r="F1" s="4"/>
    </row>
    <row r="2" spans="1:6" x14ac:dyDescent="0.3">
      <c r="A2" s="5"/>
      <c r="B2" s="5"/>
      <c r="C2" s="5"/>
      <c r="D2" s="6"/>
      <c r="E2" s="275"/>
      <c r="F2" s="5"/>
    </row>
    <row r="3" spans="1:6" x14ac:dyDescent="0.3">
      <c r="B3" s="276"/>
      <c r="C3" s="276"/>
      <c r="D3" s="276"/>
      <c r="E3" s="277" t="s">
        <v>202</v>
      </c>
    </row>
    <row r="4" spans="1:6" x14ac:dyDescent="0.3">
      <c r="B4" s="276"/>
      <c r="C4" s="276"/>
      <c r="D4" s="276"/>
      <c r="E4" s="277" t="s">
        <v>203</v>
      </c>
    </row>
    <row r="5" spans="1:6" ht="15" thickBot="1" x14ac:dyDescent="0.35">
      <c r="A5" s="278"/>
    </row>
    <row r="6" spans="1:6" ht="29.4" customHeight="1" thickBot="1" x14ac:dyDescent="0.35">
      <c r="A6" s="279" t="s">
        <v>176</v>
      </c>
      <c r="B6" s="280" t="s">
        <v>177</v>
      </c>
      <c r="C6" s="280" t="s">
        <v>178</v>
      </c>
      <c r="D6" s="281" t="s">
        <v>179</v>
      </c>
      <c r="E6" s="282"/>
    </row>
    <row r="7" spans="1:6" ht="15" thickBot="1" x14ac:dyDescent="0.35">
      <c r="A7" s="283" t="s">
        <v>180</v>
      </c>
      <c r="B7" s="284"/>
      <c r="C7" s="285"/>
      <c r="D7" s="286" t="s">
        <v>26</v>
      </c>
      <c r="E7" s="287" t="s">
        <v>27</v>
      </c>
    </row>
    <row r="8" spans="1:6" x14ac:dyDescent="0.3">
      <c r="A8" s="288">
        <v>1</v>
      </c>
      <c r="B8" s="289" t="s">
        <v>181</v>
      </c>
      <c r="C8" s="290">
        <f>SUM(D8:E9)</f>
        <v>5332242.5</v>
      </c>
      <c r="D8" s="291">
        <f>D46</f>
        <v>2438086.9463304123</v>
      </c>
      <c r="E8" s="292">
        <f>E46</f>
        <v>2384155.5536695877</v>
      </c>
    </row>
    <row r="9" spans="1:6" x14ac:dyDescent="0.3">
      <c r="A9" s="293"/>
      <c r="B9" s="294" t="s">
        <v>182</v>
      </c>
      <c r="C9" s="295"/>
      <c r="D9" s="296">
        <f>D58</f>
        <v>255901.62510078686</v>
      </c>
      <c r="E9" s="297">
        <f>E58</f>
        <v>254098.3748992132</v>
      </c>
    </row>
    <row r="10" spans="1:6" ht="28.8" x14ac:dyDescent="0.3">
      <c r="A10" s="298">
        <v>2</v>
      </c>
      <c r="B10" s="299" t="s">
        <v>210</v>
      </c>
      <c r="C10" s="300">
        <f>D10</f>
        <v>241120</v>
      </c>
      <c r="D10" s="301">
        <f>E62*D62*12</f>
        <v>241120</v>
      </c>
      <c r="E10" s="302"/>
    </row>
    <row r="11" spans="1:6" ht="28.8" x14ac:dyDescent="0.3">
      <c r="A11" s="298">
        <v>3</v>
      </c>
      <c r="B11" s="294" t="s">
        <v>211</v>
      </c>
      <c r="C11" s="303">
        <f>E11</f>
        <v>30000</v>
      </c>
      <c r="D11" s="304">
        <v>0</v>
      </c>
      <c r="E11" s="305">
        <f>E63*D63*12</f>
        <v>30000</v>
      </c>
    </row>
    <row r="12" spans="1:6" ht="58.8" customHeight="1" thickBot="1" x14ac:dyDescent="0.35">
      <c r="A12" s="306">
        <v>4</v>
      </c>
      <c r="B12" s="307" t="s">
        <v>209</v>
      </c>
      <c r="C12" s="308" t="s">
        <v>183</v>
      </c>
      <c r="D12" s="309" t="s">
        <v>183</v>
      </c>
      <c r="E12" s="310" t="s">
        <v>183</v>
      </c>
    </row>
    <row r="13" spans="1:6" ht="15" thickBot="1" x14ac:dyDescent="0.35">
      <c r="A13" s="311" t="s">
        <v>184</v>
      </c>
      <c r="B13" s="312"/>
      <c r="C13" s="313">
        <f>SUM(C8:C12)</f>
        <v>5603362.5</v>
      </c>
      <c r="D13" s="314">
        <f>SUM(D8:D12)</f>
        <v>2935108.5714311991</v>
      </c>
      <c r="E13" s="315">
        <f>SUM(E8:E12)</f>
        <v>2668253.9285688009</v>
      </c>
    </row>
    <row r="14" spans="1:6" ht="15" thickBot="1" x14ac:dyDescent="0.35">
      <c r="A14" s="283" t="s">
        <v>185</v>
      </c>
      <c r="B14" s="284"/>
      <c r="C14" s="285"/>
      <c r="D14" s="287"/>
      <c r="E14" s="287"/>
    </row>
    <row r="15" spans="1:6" ht="15" thickBot="1" x14ac:dyDescent="0.35">
      <c r="A15" s="316"/>
      <c r="B15" s="317" t="s">
        <v>186</v>
      </c>
      <c r="C15" s="318"/>
      <c r="D15" s="319" t="s">
        <v>26</v>
      </c>
      <c r="E15" s="319" t="s">
        <v>27</v>
      </c>
    </row>
    <row r="16" spans="1:6" ht="15" thickBot="1" x14ac:dyDescent="0.35">
      <c r="A16" s="320">
        <f>'[2]ФЭО к смете 2024-2025_v2'!A19</f>
        <v>1</v>
      </c>
      <c r="B16" s="321" t="str">
        <f>'ФЭО к смете 2025-2026_v2'!B19</f>
        <v>Оклад Председателя ТСН, включая НДФЛ 13%</v>
      </c>
      <c r="C16" s="369">
        <f>'ФЭО к смете 2025-2026_v2'!F19</f>
        <v>345000</v>
      </c>
      <c r="D16" s="322">
        <f>C16/Лист2!D$2*Лист2!B$2</f>
        <v>128963.09731157118</v>
      </c>
      <c r="E16" s="322">
        <f>C16/Лист2!D$2*Лист2!C$2</f>
        <v>216036.90268842879</v>
      </c>
    </row>
    <row r="17" spans="1:5" ht="29.4" thickBot="1" x14ac:dyDescent="0.35">
      <c r="A17" s="320">
        <f t="shared" ref="A17:A45" si="0">A16+1</f>
        <v>2</v>
      </c>
      <c r="B17" s="323" t="str">
        <f>'ФЭО к смете 2025-2026_v2'!B20</f>
        <v>Компенсация за неиспользованный отпуск Председателя ТСН (уходящего)</v>
      </c>
      <c r="C17" s="369">
        <f>'ФЭО к смете 2025-2026_v2'!F20</f>
        <v>28750</v>
      </c>
      <c r="D17" s="322">
        <f>C17/Лист2!D$2*Лист2!B$2</f>
        <v>10746.924775964266</v>
      </c>
      <c r="E17" s="322">
        <f>C17/Лист2!D$2*Лист2!C$2</f>
        <v>18003.075224035732</v>
      </c>
    </row>
    <row r="18" spans="1:5" ht="15" thickBot="1" x14ac:dyDescent="0.35">
      <c r="A18" s="320">
        <f t="shared" si="0"/>
        <v>3</v>
      </c>
      <c r="B18" s="323" t="str">
        <f>'ФЭО к смете 2025-2026_v2'!B21</f>
        <v>Налоги ФОТ</v>
      </c>
      <c r="C18" s="369">
        <f>'ФЭО к смете 2025-2026_v2'!F21</f>
        <v>112872.5</v>
      </c>
      <c r="D18" s="322">
        <f>C18/Лист2!D$2*Лист2!B$2</f>
        <v>42192.426670435707</v>
      </c>
      <c r="E18" s="322">
        <f>C18/Лист2!D$2*Лист2!C$2</f>
        <v>70680.073329564286</v>
      </c>
    </row>
    <row r="19" spans="1:5" ht="29.4" thickBot="1" x14ac:dyDescent="0.35">
      <c r="A19" s="320">
        <f t="shared" si="0"/>
        <v>4</v>
      </c>
      <c r="B19" s="323" t="str">
        <f>'ФЭО к смете 2025-2026_v2'!B22</f>
        <v>Исполнитель с функциями управляющего ТСН, вахтера</v>
      </c>
      <c r="C19" s="369">
        <f>'ФЭО к смете 2025-2026_v2'!F22</f>
        <v>1200000</v>
      </c>
      <c r="D19" s="322">
        <f>C19/Лист2!D$2*Лист2!B$2</f>
        <v>448567.29499676934</v>
      </c>
      <c r="E19" s="322">
        <f>C19/Лист2!D$2*Лист2!C$2</f>
        <v>751432.7050032306</v>
      </c>
    </row>
    <row r="20" spans="1:5" ht="15" customHeight="1" thickBot="1" x14ac:dyDescent="0.35">
      <c r="A20" s="320">
        <f t="shared" si="0"/>
        <v>5</v>
      </c>
      <c r="B20" s="323" t="str">
        <f>'ФЭО к смете 2025-2026_v2'!B23</f>
        <v>Бухгалтерское обслуживание</v>
      </c>
      <c r="C20" s="369">
        <f>'ФЭО к смете 2025-2026_v2'!F23</f>
        <v>240000</v>
      </c>
      <c r="D20" s="322">
        <f>C20/Лист2!D$2*Лист2!B$2</f>
        <v>89713.458999353868</v>
      </c>
      <c r="E20" s="322">
        <f>C20/Лист2!D$2*Лист2!C$2</f>
        <v>150286.5410006461</v>
      </c>
    </row>
    <row r="21" spans="1:5" ht="15" thickBot="1" x14ac:dyDescent="0.35">
      <c r="A21" s="320">
        <f t="shared" si="0"/>
        <v>6</v>
      </c>
      <c r="B21" s="323" t="str">
        <f>'ФЭО к смете 2025-2026_v2'!B24</f>
        <v>ПП 1С.Садовод</v>
      </c>
      <c r="C21" s="369">
        <f>'ФЭО к смете 2025-2026_v2'!F24</f>
        <v>25000</v>
      </c>
      <c r="D21" s="322">
        <f>C21/Лист2!D$2*Лист2!B$2</f>
        <v>9345.1519790993607</v>
      </c>
      <c r="E21" s="322">
        <f>C21/Лист2!D$2*Лист2!C$2</f>
        <v>15654.848020900636</v>
      </c>
    </row>
    <row r="22" spans="1:5" ht="15" thickBot="1" x14ac:dyDescent="0.35">
      <c r="A22" s="320">
        <f t="shared" si="0"/>
        <v>7</v>
      </c>
      <c r="B22" s="325" t="str">
        <f>'ФЭО к смете 2025-2026_v2'!B25</f>
        <v>Обслуживание домена</v>
      </c>
      <c r="C22" s="369">
        <f>'ФЭО к смете 2025-2026_v2'!F25</f>
        <v>15000</v>
      </c>
      <c r="D22" s="322">
        <f>C22/Лист2!D$2*Лист2!B$2</f>
        <v>5607.0911874596168</v>
      </c>
      <c r="E22" s="322">
        <f>C22/Лист2!D$2*Лист2!C$2</f>
        <v>9392.9088125403814</v>
      </c>
    </row>
    <row r="23" spans="1:5" ht="15" thickBot="1" x14ac:dyDescent="0.35">
      <c r="A23" s="320">
        <f t="shared" si="0"/>
        <v>8</v>
      </c>
      <c r="B23" s="323" t="str">
        <f>'ФЭО к смете 2025-2026_v2'!B26</f>
        <v>Обслуживание р/с (банк), ЭЦП</v>
      </c>
      <c r="C23" s="369">
        <f>'ФЭО к смете 2025-2026_v2'!F26</f>
        <v>56500</v>
      </c>
      <c r="D23" s="322">
        <f>C23/Лист2!D$2*Лист2!B$2</f>
        <v>21120.043472764555</v>
      </c>
      <c r="E23" s="322">
        <f>C23/Лист2!D$2*Лист2!C$2</f>
        <v>35379.956527235438</v>
      </c>
    </row>
    <row r="24" spans="1:5" ht="15" thickBot="1" x14ac:dyDescent="0.35">
      <c r="A24" s="320">
        <f t="shared" si="0"/>
        <v>9</v>
      </c>
      <c r="B24" s="323" t="str">
        <f>'ФЭО к смете 2025-2026_v2'!B27</f>
        <v>Нотариальные услуги/регистрационные услуги</v>
      </c>
      <c r="C24" s="369">
        <f>'ФЭО к смете 2025-2026_v2'!F27</f>
        <v>140000</v>
      </c>
      <c r="D24" s="322">
        <f>C24/Лист2!D$2*Лист2!B$2</f>
        <v>52332.851082956426</v>
      </c>
      <c r="E24" s="322">
        <f>C24/Лист2!D$2*Лист2!C$2</f>
        <v>87667.148917043567</v>
      </c>
    </row>
    <row r="25" spans="1:5" ht="15" thickBot="1" x14ac:dyDescent="0.35">
      <c r="A25" s="320">
        <f t="shared" si="0"/>
        <v>10</v>
      </c>
      <c r="B25" s="323" t="str">
        <f>'ФЭО к смете 2025-2026_v2'!B28</f>
        <v>Услуги Почты России</v>
      </c>
      <c r="C25" s="369">
        <f>'ФЭО к смете 2025-2026_v2'!F28</f>
        <v>100000</v>
      </c>
      <c r="D25" s="322">
        <f>C25/Лист2!D$2*Лист2!B$2</f>
        <v>37380.607916397443</v>
      </c>
      <c r="E25" s="322">
        <f>C25/Лист2!D$2*Лист2!C$2</f>
        <v>62619.392083602543</v>
      </c>
    </row>
    <row r="26" spans="1:5" ht="15" thickBot="1" x14ac:dyDescent="0.35">
      <c r="A26" s="320">
        <f t="shared" si="0"/>
        <v>11</v>
      </c>
      <c r="B26" s="323" t="str">
        <f>'ФЭО к смете 2025-2026_v2'!B29</f>
        <v>Адвокат (судебные дела + суды с должниками)</v>
      </c>
      <c r="C26" s="369">
        <f>'ФЭО к смете 2025-2026_v2'!F29</f>
        <v>500000</v>
      </c>
      <c r="D26" s="322">
        <f>C26/Лист2!D$2*Лист2!B$2</f>
        <v>186903.03958198725</v>
      </c>
      <c r="E26" s="322">
        <f>C26/Лист2!D$2*Лист2!C$2</f>
        <v>313096.96041801275</v>
      </c>
    </row>
    <row r="27" spans="1:5" ht="29.4" thickBot="1" x14ac:dyDescent="0.35">
      <c r="A27" s="320">
        <f t="shared" si="0"/>
        <v>12</v>
      </c>
      <c r="B27" s="323" t="str">
        <f>'ФЭО к смете 2025-2026_v2'!B30</f>
        <v>Хоз. нужды, инвентарь, включая приобретение оргтехники и их обслуживание/ремонт</v>
      </c>
      <c r="C27" s="369">
        <f>'ФЭО к смете 2025-2026_v2'!F30</f>
        <v>120000</v>
      </c>
      <c r="D27" s="322">
        <f>C27/Лист2!D$2*Лист2!B$2</f>
        <v>44856.729499676934</v>
      </c>
      <c r="E27" s="322">
        <f>C27/Лист2!D$2*Лист2!C$2</f>
        <v>75143.270500323051</v>
      </c>
    </row>
    <row r="28" spans="1:5" s="371" customFormat="1" ht="15" thickBot="1" x14ac:dyDescent="0.35">
      <c r="A28" s="320">
        <f t="shared" si="0"/>
        <v>13</v>
      </c>
      <c r="B28" s="323" t="str">
        <f>'ФЭО к смете 2025-2026_v2'!B31</f>
        <v>Замена ламп освещения</v>
      </c>
      <c r="C28" s="369">
        <f>'ФЭО к смете 2025-2026_v2'!F31</f>
        <v>235000</v>
      </c>
      <c r="D28" s="322">
        <f>C28</f>
        <v>235000</v>
      </c>
      <c r="E28" s="322">
        <v>0</v>
      </c>
    </row>
    <row r="29" spans="1:5" ht="15" thickBot="1" x14ac:dyDescent="0.35">
      <c r="A29" s="401" t="str">
        <f>'ФЭО к смете 2025-2026_v2'!A32</f>
        <v xml:space="preserve">    14.1</v>
      </c>
      <c r="B29" s="368" t="str">
        <f>'ФЭО к смете 2025-2026_v2'!B32</f>
        <v>эл-во уличное (1-я оч)</v>
      </c>
      <c r="C29" s="369">
        <f>'ФЭО к смете 2025-2026_v2'!F32</f>
        <v>180000</v>
      </c>
      <c r="D29" s="370">
        <f>C29</f>
        <v>180000</v>
      </c>
      <c r="E29" s="370">
        <v>0</v>
      </c>
    </row>
    <row r="30" spans="1:5" ht="15" thickBot="1" x14ac:dyDescent="0.35">
      <c r="A30" s="401" t="str">
        <f>'ФЭО к смете 2025-2026_v2'!A33</f>
        <v xml:space="preserve">    14.2</v>
      </c>
      <c r="B30" s="368" t="str">
        <f>'ФЭО к смете 2025-2026_v2'!B33</f>
        <v>эл-во адм зданий</v>
      </c>
      <c r="C30" s="369">
        <f>'ФЭО к смете 2025-2026_v2'!F33</f>
        <v>60000</v>
      </c>
      <c r="D30" s="322">
        <f>C30/Лист2!D$2*Лист2!B$2</f>
        <v>22428.364749838467</v>
      </c>
      <c r="E30" s="322">
        <f>C30/Лист2!D$2*Лист2!C$2</f>
        <v>37571.635250161526</v>
      </c>
    </row>
    <row r="31" spans="1:5" ht="15" thickBot="1" x14ac:dyDescent="0.35">
      <c r="A31" s="401" t="str">
        <f>'ФЭО к смете 2025-2026_v2'!A34</f>
        <v xml:space="preserve">    14.3</v>
      </c>
      <c r="B31" s="368" t="str">
        <f>'ФЭО к смете 2025-2026_v2'!B34</f>
        <v>Потери в эл. сетях (1-я оч)</v>
      </c>
      <c r="C31" s="369">
        <f>'ФЭО к смете 2025-2026_v2'!F34</f>
        <v>240000</v>
      </c>
      <c r="D31" s="372">
        <f>C31</f>
        <v>240000</v>
      </c>
      <c r="E31" s="372">
        <v>0</v>
      </c>
    </row>
    <row r="32" spans="1:5" ht="29.4" thickBot="1" x14ac:dyDescent="0.35">
      <c r="A32" s="401" t="str">
        <f>'ФЭО к смете 2025-2026_v2'!A35</f>
        <v>14.4.</v>
      </c>
      <c r="B32" s="368" t="str">
        <f>'ФЭО к смете 2025-2026_v2'!B35</f>
        <v>Резерв (пополнение). Обслуживание трансформатора (1-я очередь)</v>
      </c>
      <c r="C32" s="369">
        <f>'ФЭО к смете 2025-2026_v2'!F35</f>
        <v>50000</v>
      </c>
      <c r="D32" s="372">
        <f>C32</f>
        <v>50000</v>
      </c>
      <c r="E32" s="372">
        <v>0</v>
      </c>
    </row>
    <row r="33" spans="1:5" ht="15" thickBot="1" x14ac:dyDescent="0.35">
      <c r="A33" s="320">
        <f>'ФЭО к смете 2025-2026_v2'!A36</f>
        <v>15</v>
      </c>
      <c r="B33" s="323" t="str">
        <f>'[2]ФЭО к смете 2024-2025_v2'!B35</f>
        <v>Вывоз мусора*</v>
      </c>
      <c r="C33" s="326">
        <f>'ФЭО к смете 2025-2026_v2'!F36</f>
        <v>241120.00000000003</v>
      </c>
      <c r="D33" s="327" t="s">
        <v>187</v>
      </c>
      <c r="E33" s="328"/>
    </row>
    <row r="34" spans="1:5" ht="15" thickBot="1" x14ac:dyDescent="0.35">
      <c r="A34" s="320">
        <f t="shared" si="0"/>
        <v>16</v>
      </c>
      <c r="B34" s="323" t="str">
        <f>'ФЭО к смете 2025-2026_v2'!B37</f>
        <v>Услуги ассенизатора, химия</v>
      </c>
      <c r="C34" s="324">
        <f>'ФЭО к смете 2025-2026_v2'!F37</f>
        <v>28000</v>
      </c>
      <c r="D34" s="322">
        <f>C34/Лист2!D$2*Лист2!B$2</f>
        <v>10466.570216591284</v>
      </c>
      <c r="E34" s="322">
        <f>C34/Лист2!D$2*Лист2!C$2</f>
        <v>17533.429783408712</v>
      </c>
    </row>
    <row r="35" spans="1:5" ht="15" thickBot="1" x14ac:dyDescent="0.35">
      <c r="A35" s="320">
        <f t="shared" si="0"/>
        <v>17</v>
      </c>
      <c r="B35" s="323" t="str">
        <f>'ФЭО к смете 2025-2026_v2'!B38</f>
        <v>Офисные расходы</v>
      </c>
      <c r="C35" s="324">
        <f>'ФЭО к смете 2025-2026_v2'!F38</f>
        <v>12000</v>
      </c>
      <c r="D35" s="322">
        <f>C35/Лист2!D$2*Лист2!B$2</f>
        <v>4485.672949967694</v>
      </c>
      <c r="E35" s="322">
        <f>C35/Лист2!D$2*Лист2!C$2</f>
        <v>7514.327050032306</v>
      </c>
    </row>
    <row r="36" spans="1:5" ht="15" thickBot="1" x14ac:dyDescent="0.35">
      <c r="A36" s="320">
        <f t="shared" si="0"/>
        <v>18</v>
      </c>
      <c r="B36" s="323" t="str">
        <f>'ФЭО к смете 2025-2026_v2'!B39</f>
        <v>Покос обочин</v>
      </c>
      <c r="C36" s="324">
        <f>'ФЭО к смете 2025-2026_v2'!F39</f>
        <v>63000</v>
      </c>
      <c r="D36" s="322">
        <f>C36/Лист2!D$2*Лист2!B$2</f>
        <v>23549.782987330393</v>
      </c>
      <c r="E36" s="322">
        <f>C36/Лист2!D$2*Лист2!C$2</f>
        <v>39450.217012669607</v>
      </c>
    </row>
    <row r="37" spans="1:5" ht="30" customHeight="1" thickBot="1" x14ac:dyDescent="0.35">
      <c r="A37" s="320">
        <f t="shared" si="0"/>
        <v>19</v>
      </c>
      <c r="B37" s="323" t="str">
        <f>'ФЭО к смете 2025-2026_v2'!B40</f>
        <v>Ремонт дорог (ямочный) 1-я очередь</v>
      </c>
      <c r="C37" s="324">
        <f>'ФЭО к смете 2025-2026_v2'!F40</f>
        <v>64000</v>
      </c>
      <c r="D37" s="322">
        <f>C37</f>
        <v>64000</v>
      </c>
      <c r="E37" s="322">
        <v>0</v>
      </c>
    </row>
    <row r="38" spans="1:5" ht="29.4" thickBot="1" x14ac:dyDescent="0.35">
      <c r="A38" s="320">
        <f t="shared" si="0"/>
        <v>20</v>
      </c>
      <c r="B38" s="323" t="str">
        <f>'ФЭО к смете 2025-2026_v2'!B41</f>
        <v>Ремонт дорог (ямочный) 2-я очередь общая дорога (до уч 86(А)</v>
      </c>
      <c r="C38" s="324">
        <f>'ФЭО к смете 2025-2026_v2'!F41</f>
        <v>64000</v>
      </c>
      <c r="D38" s="322">
        <v>0</v>
      </c>
      <c r="E38" s="322">
        <f>C38</f>
        <v>64000</v>
      </c>
    </row>
    <row r="39" spans="1:5" ht="15" thickBot="1" x14ac:dyDescent="0.35">
      <c r="A39" s="320">
        <f t="shared" si="0"/>
        <v>21</v>
      </c>
      <c r="B39" s="323" t="str">
        <f>'ФЭО к смете 2025-2026_v2'!B42</f>
        <v>Уборка снега 1-я очередь</v>
      </c>
      <c r="C39" s="324">
        <f>'ФЭО к смете 2025-2026_v2'!F42</f>
        <v>240000</v>
      </c>
      <c r="D39" s="322">
        <f>C39</f>
        <v>240000</v>
      </c>
      <c r="E39" s="322">
        <v>0</v>
      </c>
    </row>
    <row r="40" spans="1:5" ht="43.8" thickBot="1" x14ac:dyDescent="0.35">
      <c r="A40" s="320">
        <f t="shared" si="0"/>
        <v>22</v>
      </c>
      <c r="B40" s="323" t="str">
        <f>'ФЭО к смете 2025-2026_v2'!B43</f>
        <v>Уборка снега 2-я очередь (общая дорога до уч 86(А) и далее по улицам к уч.99, 111 (120), 144, 156)**</v>
      </c>
      <c r="C40" s="324">
        <f>'ФЭО к смете 2025-2026_v2'!F43</f>
        <v>200000</v>
      </c>
      <c r="D40" s="322">
        <v>0</v>
      </c>
      <c r="E40" s="322">
        <f>C40</f>
        <v>200000</v>
      </c>
    </row>
    <row r="41" spans="1:5" ht="29.4" thickBot="1" x14ac:dyDescent="0.35">
      <c r="A41" s="320">
        <f t="shared" si="0"/>
        <v>23</v>
      </c>
      <c r="B41" s="323" t="str">
        <f>'ФЭО к смете 2025-2026_v2'!B44</f>
        <v>Уборка снега 2-я очередь по улицам к уч.99, 111 (120), 144, 156)**</v>
      </c>
      <c r="C41" s="373">
        <f>'ФЭО к смете 2025-2026_v2'!F44</f>
        <v>30000</v>
      </c>
      <c r="D41" s="327" t="s">
        <v>187</v>
      </c>
      <c r="E41" s="328"/>
    </row>
    <row r="42" spans="1:5" ht="15" thickBot="1" x14ac:dyDescent="0.35">
      <c r="A42" s="320">
        <f t="shared" si="0"/>
        <v>24</v>
      </c>
      <c r="B42" s="323" t="str">
        <f>'ФЭО к смете 2025-2026_v2'!B45</f>
        <v>Ливневки (местный ремонт)</v>
      </c>
      <c r="C42" s="324">
        <f>'ФЭО к смете 2025-2026_v2'!F45</f>
        <v>50000</v>
      </c>
      <c r="D42" s="322">
        <f>C42/Лист2!D$2*Лист2!B$2</f>
        <v>18690.303958198721</v>
      </c>
      <c r="E42" s="322">
        <f>C42/Лист2!D$2*Лист2!C$2</f>
        <v>31309.696041801271</v>
      </c>
    </row>
    <row r="43" spans="1:5" ht="15" thickBot="1" x14ac:dyDescent="0.35">
      <c r="A43" s="320">
        <f t="shared" si="0"/>
        <v>25</v>
      </c>
      <c r="B43" s="323" t="str">
        <f>'ФЭО к смете 2025-2026_v2'!B46</f>
        <v>Земельный налог</v>
      </c>
      <c r="C43" s="324">
        <f>'ФЭО к смете 2025-2026_v2'!F46</f>
        <v>120000</v>
      </c>
      <c r="D43" s="322">
        <f>C43/Лист2!D$2*Лист2!B$2</f>
        <v>44856.729499676934</v>
      </c>
      <c r="E43" s="322">
        <f>C43/Лист2!D$2*Лист2!C$2</f>
        <v>75143.270500323051</v>
      </c>
    </row>
    <row r="44" spans="1:5" ht="15" thickBot="1" x14ac:dyDescent="0.35">
      <c r="A44" s="320">
        <f t="shared" si="0"/>
        <v>26</v>
      </c>
      <c r="B44" s="323" t="str">
        <f>'ФЭО к смете 2025-2026_v2'!B47</f>
        <v>Cотовая связь</v>
      </c>
      <c r="C44" s="324">
        <f>'ФЭО к смете 2025-2026_v2'!F47</f>
        <v>12000</v>
      </c>
      <c r="D44" s="322">
        <f>C44/Лист2!D$2*Лист2!B$2</f>
        <v>4485.672949967694</v>
      </c>
      <c r="E44" s="322">
        <f>C44/Лист2!D$2*Лист2!C$2</f>
        <v>7514.327050032306</v>
      </c>
    </row>
    <row r="45" spans="1:5" ht="15" thickBot="1" x14ac:dyDescent="0.35">
      <c r="A45" s="320">
        <f t="shared" si="0"/>
        <v>27</v>
      </c>
      <c r="B45" s="323" t="str">
        <f>'ФЭО к смете 2025-2026_v2'!B49</f>
        <v>Непредвиденные расходы</v>
      </c>
      <c r="C45" s="324">
        <f>'ФЭО к смете 2025-2026_v2'!F49</f>
        <v>50000</v>
      </c>
      <c r="D45" s="322">
        <f>C45/Лист2!D$2*Лист2!B$2</f>
        <v>18690.303958198721</v>
      </c>
      <c r="E45" s="322">
        <f>C45/Лист2!D$2*Лист2!C$2</f>
        <v>31309.696041801271</v>
      </c>
    </row>
    <row r="46" spans="1:5" ht="15" thickBot="1" x14ac:dyDescent="0.35">
      <c r="A46" s="329"/>
      <c r="B46" s="330" t="s">
        <v>188</v>
      </c>
      <c r="C46" s="400">
        <f>SUM(C16:C45)</f>
        <v>4822242.5</v>
      </c>
      <c r="D46" s="331">
        <f>SUM(D16:D45)+E62*49*12</f>
        <v>2438086.9463304123</v>
      </c>
      <c r="E46" s="331">
        <f>SUM(E16:E45)+E62*9*12+D63*E63*12</f>
        <v>2384155.5536695877</v>
      </c>
    </row>
    <row r="47" spans="1:5" ht="15" thickBot="1" x14ac:dyDescent="0.35">
      <c r="A47" s="316"/>
      <c r="B47" s="317" t="s">
        <v>189</v>
      </c>
      <c r="C47" s="318"/>
      <c r="D47" s="319" t="s">
        <v>26</v>
      </c>
      <c r="E47" s="319" t="s">
        <v>27</v>
      </c>
    </row>
    <row r="48" spans="1:5" ht="15" thickBot="1" x14ac:dyDescent="0.35">
      <c r="A48" s="320">
        <f>'ФЭО к смете 2025-2026_v2'!A54</f>
        <v>28</v>
      </c>
      <c r="B48" s="323" t="str">
        <f>'ФЭО к смете 2025-2026_v2'!B54</f>
        <v>Раздевалка на пляж</v>
      </c>
      <c r="C48" s="324">
        <f>'ФЭО к смете 2025-2026_v2'!F54</f>
        <v>25000</v>
      </c>
      <c r="D48" s="322">
        <f>C48/'[2]ФЭО к смете 2024-2025_v2'!O$2*'[2]ФЭО к смете 2024-2025_v2'!M$2</f>
        <v>9506.1966524870022</v>
      </c>
      <c r="E48" s="322">
        <f>C48/'[2]ФЭО к смете 2024-2025_v2'!O$2*'[2]ФЭО к смете 2024-2025_v2'!N$2</f>
        <v>15493.803347513</v>
      </c>
    </row>
    <row r="49" spans="1:6" ht="15" thickBot="1" x14ac:dyDescent="0.35">
      <c r="A49" s="320">
        <f t="shared" ref="A49:A57" si="1">A48+1</f>
        <v>29</v>
      </c>
      <c r="B49" s="323" t="str">
        <f>'ФЭО к смете 2025-2026_v2'!B55</f>
        <v>Система автоматического открывания ворот</v>
      </c>
      <c r="C49" s="324">
        <f>'ФЭО к смете 2025-2026_v2'!F55</f>
        <v>50000</v>
      </c>
      <c r="D49" s="322">
        <f>C49/'[2]ФЭО к смете 2024-2025_v2'!O$2*'[2]ФЭО к смете 2024-2025_v2'!M$2</f>
        <v>19012.393304974004</v>
      </c>
      <c r="E49" s="322">
        <f>C49/'[2]ФЭО к смете 2024-2025_v2'!O$2*'[2]ФЭО к смете 2024-2025_v2'!N$2</f>
        <v>30987.606695025999</v>
      </c>
    </row>
    <row r="50" spans="1:6" ht="15" thickBot="1" x14ac:dyDescent="0.35">
      <c r="A50" s="320">
        <f t="shared" si="1"/>
        <v>30</v>
      </c>
      <c r="B50" s="323" t="str">
        <f>'ФЭО к смете 2025-2026_v2'!B56</f>
        <v xml:space="preserve">Велосипед </v>
      </c>
      <c r="C50" s="324">
        <f>'ФЭО к смете 2025-2026_v2'!F56</f>
        <v>25000</v>
      </c>
      <c r="D50" s="322">
        <f>C50/'[2]ФЭО к смете 2024-2025_v2'!O$2*'[2]ФЭО к смете 2024-2025_v2'!M$2</f>
        <v>9506.1966524870022</v>
      </c>
      <c r="E50" s="322">
        <f>C50/'[2]ФЭО к смете 2024-2025_v2'!O$2*'[2]ФЭО к смете 2024-2025_v2'!N$2</f>
        <v>15493.803347513</v>
      </c>
    </row>
    <row r="51" spans="1:6" ht="15" thickBot="1" x14ac:dyDescent="0.35">
      <c r="A51" s="320">
        <f t="shared" si="1"/>
        <v>31</v>
      </c>
      <c r="B51" s="323" t="str">
        <f>'ФЭО к смете 2025-2026_v2'!B57</f>
        <v>Лежаки на пляж</v>
      </c>
      <c r="C51" s="324">
        <f>'ФЭО к смете 2025-2026_v2'!F57</f>
        <v>30000</v>
      </c>
      <c r="D51" s="322">
        <f>C51/'[2]ФЭО к смете 2024-2025_v2'!O$2*'[2]ФЭО к смете 2024-2025_v2'!M$2</f>
        <v>11407.435982984403</v>
      </c>
      <c r="E51" s="322">
        <f>C51/'[2]ФЭО к смете 2024-2025_v2'!O$2*'[2]ФЭО к смете 2024-2025_v2'!N$2</f>
        <v>18592.5640170156</v>
      </c>
    </row>
    <row r="52" spans="1:6" ht="15" thickBot="1" x14ac:dyDescent="0.35">
      <c r="A52" s="320">
        <f t="shared" si="1"/>
        <v>32</v>
      </c>
      <c r="B52" s="323" t="str">
        <f>'ФЭО к смете 2025-2026_v2'!B58</f>
        <v>Спорт объекты</v>
      </c>
      <c r="C52" s="324">
        <f>'ФЭО к смете 2025-2026_v2'!F58</f>
        <v>100000</v>
      </c>
      <c r="D52" s="322">
        <f>C52/'[2]ФЭО к смете 2024-2025_v2'!O$2*'[2]ФЭО к смете 2024-2025_v2'!M$2</f>
        <v>38024.786609948009</v>
      </c>
      <c r="E52" s="322">
        <f>C52/'[2]ФЭО к смете 2024-2025_v2'!O$2*'[2]ФЭО к смете 2024-2025_v2'!N$2</f>
        <v>61975.213390051998</v>
      </c>
    </row>
    <row r="53" spans="1:6" ht="15" thickBot="1" x14ac:dyDescent="0.35">
      <c r="A53" s="320">
        <f t="shared" si="1"/>
        <v>33</v>
      </c>
      <c r="B53" s="323" t="str">
        <f>'ФЭО к смете 2025-2026_v2'!B59</f>
        <v>Пляж (ремонт)</v>
      </c>
      <c r="C53" s="324">
        <f>'ФЭО к смете 2025-2026_v2'!F59</f>
        <v>100000</v>
      </c>
      <c r="D53" s="322">
        <f>C53/'[2]ФЭО к смете 2024-2025_v2'!O$2*'[2]ФЭО к смете 2024-2025_v2'!M$2</f>
        <v>38024.786609948009</v>
      </c>
      <c r="E53" s="322">
        <f>C53/'[2]ФЭО к смете 2024-2025_v2'!O$2*'[2]ФЭО к смете 2024-2025_v2'!N$2</f>
        <v>61975.213390051998</v>
      </c>
    </row>
    <row r="54" spans="1:6" ht="15" thickBot="1" x14ac:dyDescent="0.35">
      <c r="A54" s="320">
        <f t="shared" si="1"/>
        <v>34</v>
      </c>
      <c r="B54" s="323" t="str">
        <f>'ФЭО к смете 2025-2026_v2'!B60</f>
        <v>Демонтаж рыбацких домиков на озере</v>
      </c>
      <c r="C54" s="324">
        <f>'ФЭО к смете 2025-2026_v2'!F60</f>
        <v>30000</v>
      </c>
      <c r="D54" s="322">
        <f>C54/'[2]ФЭО к смете 2024-2025_v2'!O$2*'[2]ФЭО к смете 2024-2025_v2'!M$2</f>
        <v>11407.435982984403</v>
      </c>
      <c r="E54" s="322">
        <f>C54/'[2]ФЭО к смете 2024-2025_v2'!O$2*'[2]ФЭО к смете 2024-2025_v2'!N$2</f>
        <v>18592.5640170156</v>
      </c>
    </row>
    <row r="55" spans="1:6" ht="29.4" thickBot="1" x14ac:dyDescent="0.35">
      <c r="A55" s="320">
        <f t="shared" si="1"/>
        <v>35</v>
      </c>
      <c r="B55" s="323" t="str">
        <f>'ФЭО к смете 2025-2026_v2'!B61</f>
        <v>Печь-буржуйка (зимнее отопление вагончик на въезде)</v>
      </c>
      <c r="C55" s="324">
        <f>'ФЭО к смете 2025-2026_v2'!F61</f>
        <v>50000</v>
      </c>
      <c r="D55" s="322">
        <f>C55/'[2]ФЭО к смете 2024-2025_v2'!O$2*'[2]ФЭО к смете 2024-2025_v2'!M$2</f>
        <v>19012.393304974004</v>
      </c>
      <c r="E55" s="322">
        <f>C55/'[2]ФЭО к смете 2024-2025_v2'!O$2*'[2]ФЭО к смете 2024-2025_v2'!N$2</f>
        <v>30987.606695025999</v>
      </c>
    </row>
    <row r="56" spans="1:6" ht="15" thickBot="1" x14ac:dyDescent="0.35">
      <c r="A56" s="320">
        <f t="shared" si="1"/>
        <v>36</v>
      </c>
      <c r="B56" s="323" t="str">
        <f>'ФЭО к смете 2025-2026_v2'!B62</f>
        <v>Ремонт вагончика на въезде</v>
      </c>
      <c r="C56" s="324">
        <f>'ФЭО к смете 2025-2026_v2'!F62</f>
        <v>100000</v>
      </c>
      <c r="D56" s="322">
        <f>C56</f>
        <v>100000</v>
      </c>
      <c r="E56" s="322">
        <v>0</v>
      </c>
    </row>
    <row r="57" spans="1:6" ht="15" thickBot="1" x14ac:dyDescent="0.35">
      <c r="A57" s="320">
        <f t="shared" si="1"/>
        <v>37</v>
      </c>
      <c r="B57" s="323" t="str">
        <f>'ФЭО к смете 2025-2026_v2'!B63</f>
        <v>Песок (гололед)</v>
      </c>
      <c r="C57" s="324">
        <f>'ФЭО к смете 2025-2026_v2'!F63</f>
        <v>30000</v>
      </c>
      <c r="D57" s="322">
        <v>0</v>
      </c>
      <c r="E57" s="332">
        <f>C57-30000</f>
        <v>0</v>
      </c>
    </row>
    <row r="58" spans="1:6" ht="15" thickBot="1" x14ac:dyDescent="0.35">
      <c r="A58" s="333"/>
      <c r="B58" s="334" t="s">
        <v>190</v>
      </c>
      <c r="C58" s="335">
        <f>SUM(C48:C57)</f>
        <v>540000</v>
      </c>
      <c r="D58" s="335">
        <f>SUM(D48:D57)</f>
        <v>255901.62510078686</v>
      </c>
      <c r="E58" s="335">
        <f>SUM(E48:E57)</f>
        <v>254098.3748992132</v>
      </c>
    </row>
    <row r="59" spans="1:6" ht="15" thickBot="1" x14ac:dyDescent="0.35">
      <c r="A59" s="333"/>
      <c r="B59" s="334" t="s">
        <v>40</v>
      </c>
      <c r="C59" s="399">
        <f>C58+C46</f>
        <v>5362242.5</v>
      </c>
      <c r="D59" s="336"/>
      <c r="E59" s="336"/>
      <c r="F59" s="153"/>
    </row>
    <row r="60" spans="1:6" ht="15" thickBot="1" x14ac:dyDescent="0.35">
      <c r="A60" s="337" t="s">
        <v>191</v>
      </c>
      <c r="B60" s="337"/>
      <c r="C60" s="338"/>
      <c r="D60" s="338"/>
      <c r="E60" s="338"/>
      <c r="F60" s="153"/>
    </row>
    <row r="61" spans="1:6" x14ac:dyDescent="0.3">
      <c r="A61" s="339">
        <f>A33</f>
        <v>15</v>
      </c>
      <c r="B61" s="340" t="str">
        <f>B33</f>
        <v>Вывоз мусора*</v>
      </c>
      <c r="C61" s="341"/>
      <c r="D61" s="342" t="s">
        <v>192</v>
      </c>
      <c r="E61" s="343" t="s">
        <v>51</v>
      </c>
      <c r="F61" s="153"/>
    </row>
    <row r="62" spans="1:6" ht="89.4" customHeight="1" x14ac:dyDescent="0.3">
      <c r="A62" s="344"/>
      <c r="B62" s="345" t="s">
        <v>204</v>
      </c>
      <c r="C62" s="346"/>
      <c r="D62" s="347">
        <f>'ФЭО к смете 2025-2026_v2'!I69</f>
        <v>58</v>
      </c>
      <c r="E62" s="348">
        <f>C33/D62/12</f>
        <v>346.43678160919541</v>
      </c>
      <c r="F62" s="153"/>
    </row>
    <row r="63" spans="1:6" ht="27.6" customHeight="1" x14ac:dyDescent="0.3">
      <c r="A63" s="349">
        <f>A41</f>
        <v>23</v>
      </c>
      <c r="B63" s="350" t="str">
        <f>B41</f>
        <v>Уборка снега 2-я очередь по улицам к уч.99, 111 (120), 144, 156)**</v>
      </c>
      <c r="C63" s="351"/>
      <c r="D63" s="352">
        <f>'ФЭО к смете 2025-2026_v2'!I72</f>
        <v>6</v>
      </c>
      <c r="E63" s="353">
        <f>30000/'Смета 2024-2025'!D63/12</f>
        <v>416.66666666666669</v>
      </c>
      <c r="F63" s="153"/>
    </row>
    <row r="64" spans="1:6" ht="56.4" customHeight="1" thickBot="1" x14ac:dyDescent="0.35">
      <c r="A64" s="354"/>
      <c r="B64" s="355" t="s">
        <v>205</v>
      </c>
      <c r="C64" s="356"/>
      <c r="D64" s="357"/>
      <c r="E64" s="358"/>
      <c r="F64" s="153"/>
    </row>
    <row r="65" spans="1:7" ht="18" x14ac:dyDescent="0.35">
      <c r="A65" s="359" t="s">
        <v>206</v>
      </c>
      <c r="B65" s="359"/>
      <c r="C65" s="359"/>
      <c r="D65" s="83"/>
      <c r="E65" s="83"/>
    </row>
    <row r="66" spans="1:7" ht="15" thickBot="1" x14ac:dyDescent="0.35"/>
    <row r="67" spans="1:7" x14ac:dyDescent="0.3">
      <c r="A67" s="389"/>
      <c r="B67" s="374" t="s">
        <v>29</v>
      </c>
      <c r="C67" s="375" t="s">
        <v>121</v>
      </c>
      <c r="D67" s="376"/>
      <c r="E67" s="377"/>
    </row>
    <row r="68" spans="1:7" x14ac:dyDescent="0.3">
      <c r="A68" s="389"/>
      <c r="B68" s="378"/>
      <c r="C68" s="379" t="s">
        <v>30</v>
      </c>
      <c r="D68" s="379" t="s">
        <v>31</v>
      </c>
      <c r="E68" s="380" t="s">
        <v>17</v>
      </c>
    </row>
    <row r="69" spans="1:7" x14ac:dyDescent="0.3">
      <c r="A69" s="389"/>
      <c r="B69" s="381" t="s">
        <v>193</v>
      </c>
      <c r="C69" s="382">
        <f>'ФЭО к смете 2025-2026_v2'!M6</f>
        <v>2098.9771056581958</v>
      </c>
      <c r="D69" s="382">
        <f>'ФЭО к смете 2025-2026_v2'!N6</f>
        <v>189.62272101581593</v>
      </c>
      <c r="E69" s="383">
        <f>SUM(C69:D69)</f>
        <v>2288.5998266740116</v>
      </c>
      <c r="G69" s="153"/>
    </row>
    <row r="70" spans="1:7" ht="15" thickBot="1" x14ac:dyDescent="0.35">
      <c r="A70" s="389"/>
      <c r="B70" s="384" t="s">
        <v>194</v>
      </c>
      <c r="C70" s="385">
        <f>'ФЭО к смете 2025-2026_v2'!M7</f>
        <v>1299.1674646043987</v>
      </c>
      <c r="D70" s="385">
        <f>'ФЭО к смете 2025-2026_v2'!N7</f>
        <v>189.62272101581593</v>
      </c>
      <c r="E70" s="386">
        <f>SUM(C70:D70)</f>
        <v>1488.7901856202145</v>
      </c>
      <c r="G70" s="153"/>
    </row>
    <row r="71" spans="1:7" ht="15" thickBot="1" x14ac:dyDescent="0.35">
      <c r="A71" s="389"/>
      <c r="B71" s="387" t="s">
        <v>195</v>
      </c>
      <c r="C71" s="387"/>
      <c r="D71" s="387"/>
      <c r="E71" s="388"/>
    </row>
    <row r="72" spans="1:7" s="361" customFormat="1" ht="28.8" x14ac:dyDescent="0.3">
      <c r="A72" s="390" t="s">
        <v>196</v>
      </c>
      <c r="B72" s="391" t="s">
        <v>207</v>
      </c>
      <c r="C72" s="392">
        <f>E62</f>
        <v>346.43678160919541</v>
      </c>
      <c r="D72" s="392"/>
      <c r="E72" s="393"/>
      <c r="F72" s="360"/>
    </row>
    <row r="73" spans="1:7" s="85" customFormat="1" ht="29.4" thickBot="1" x14ac:dyDescent="0.35">
      <c r="A73" s="394" t="s">
        <v>197</v>
      </c>
      <c r="B73" s="395" t="s">
        <v>208</v>
      </c>
      <c r="C73" s="396"/>
      <c r="D73" s="397">
        <f>E63</f>
        <v>416.66666666666669</v>
      </c>
      <c r="E73" s="398"/>
      <c r="F73" s="362"/>
    </row>
    <row r="74" spans="1:7" x14ac:dyDescent="0.3">
      <c r="A74" s="76"/>
      <c r="B74" s="76"/>
      <c r="C74" s="76"/>
      <c r="D74" s="363"/>
      <c r="E74" s="76"/>
      <c r="F74" s="76"/>
    </row>
    <row r="75" spans="1:7" ht="29.4" customHeight="1" x14ac:dyDescent="0.3">
      <c r="A75" s="364" t="s">
        <v>198</v>
      </c>
      <c r="B75" s="364"/>
      <c r="C75" s="364"/>
      <c r="D75" s="364"/>
      <c r="E75" s="364"/>
    </row>
    <row r="76" spans="1:7" x14ac:dyDescent="0.3">
      <c r="A76" s="365"/>
      <c r="B76" s="365"/>
      <c r="C76" s="365"/>
      <c r="D76" s="365"/>
      <c r="E76" s="365"/>
    </row>
    <row r="77" spans="1:7" x14ac:dyDescent="0.3">
      <c r="E77" s="366" t="s">
        <v>199</v>
      </c>
    </row>
    <row r="78" spans="1:7" x14ac:dyDescent="0.3">
      <c r="B78" s="367"/>
      <c r="E78" s="366"/>
    </row>
    <row r="79" spans="1:7" x14ac:dyDescent="0.3">
      <c r="E79" s="366"/>
    </row>
    <row r="80" spans="1:7" x14ac:dyDescent="0.3">
      <c r="E80" s="366" t="s">
        <v>200</v>
      </c>
    </row>
    <row r="88" spans="1:6" x14ac:dyDescent="0.3">
      <c r="A88" s="235"/>
      <c r="B88" s="235"/>
      <c r="C88" s="1"/>
      <c r="D88" s="2"/>
      <c r="E88" s="2"/>
      <c r="F88" s="1"/>
    </row>
    <row r="89" spans="1:6" x14ac:dyDescent="0.3">
      <c r="A89" s="235"/>
      <c r="B89" s="235"/>
      <c r="C89" s="1"/>
      <c r="D89" s="2"/>
      <c r="E89" s="2"/>
      <c r="F89" s="1"/>
    </row>
    <row r="90" spans="1:6" x14ac:dyDescent="0.3">
      <c r="A90" s="235"/>
      <c r="B90" s="235"/>
      <c r="C90" s="1"/>
      <c r="D90" s="2"/>
      <c r="E90" s="2"/>
      <c r="F90" s="1"/>
    </row>
    <row r="91" spans="1:6" x14ac:dyDescent="0.3">
      <c r="A91" s="235"/>
      <c r="B91" s="235"/>
      <c r="C91" s="1"/>
      <c r="D91" s="2"/>
      <c r="E91" s="2"/>
      <c r="F91" s="1"/>
    </row>
    <row r="92" spans="1:6" x14ac:dyDescent="0.3">
      <c r="A92" s="235"/>
      <c r="B92" s="235"/>
      <c r="C92" s="1"/>
      <c r="D92" s="2"/>
      <c r="E92" s="2"/>
      <c r="F92" s="1"/>
    </row>
    <row r="93" spans="1:6" x14ac:dyDescent="0.3">
      <c r="A93" s="235"/>
      <c r="B93" s="235"/>
      <c r="C93" s="1"/>
      <c r="D93" s="2"/>
      <c r="E93" s="2"/>
      <c r="F93" s="1"/>
    </row>
    <row r="94" spans="1:6" x14ac:dyDescent="0.3">
      <c r="A94" s="235"/>
      <c r="B94" s="235"/>
      <c r="C94" s="1"/>
      <c r="D94" s="2"/>
      <c r="E94" s="2"/>
      <c r="F94" s="1"/>
    </row>
    <row r="95" spans="1:6" x14ac:dyDescent="0.3">
      <c r="A95" s="235"/>
      <c r="B95" s="235"/>
      <c r="C95" s="1"/>
      <c r="D95" s="2"/>
      <c r="E95" s="2"/>
      <c r="F95" s="1"/>
    </row>
    <row r="96" spans="1:6" x14ac:dyDescent="0.3">
      <c r="A96" s="235"/>
      <c r="B96" s="235"/>
      <c r="C96" s="1"/>
      <c r="D96" s="2"/>
      <c r="E96" s="2"/>
      <c r="F96" s="1"/>
    </row>
    <row r="97" spans="1:6" x14ac:dyDescent="0.3">
      <c r="A97" s="235"/>
      <c r="B97" s="235"/>
      <c r="C97" s="1"/>
      <c r="D97" s="2"/>
      <c r="E97" s="2"/>
      <c r="F97" s="1"/>
    </row>
  </sheetData>
  <mergeCells count="30">
    <mergeCell ref="A93:B93"/>
    <mergeCell ref="A94:B94"/>
    <mergeCell ref="A95:B95"/>
    <mergeCell ref="A96:B96"/>
    <mergeCell ref="A97:B97"/>
    <mergeCell ref="D41:E41"/>
    <mergeCell ref="A75:E75"/>
    <mergeCell ref="A88:B88"/>
    <mergeCell ref="A89:B89"/>
    <mergeCell ref="A90:B90"/>
    <mergeCell ref="A91:B91"/>
    <mergeCell ref="A92:B92"/>
    <mergeCell ref="D63:D64"/>
    <mergeCell ref="E63:E64"/>
    <mergeCell ref="B64:C64"/>
    <mergeCell ref="B67:B68"/>
    <mergeCell ref="C67:E67"/>
    <mergeCell ref="B71:E71"/>
    <mergeCell ref="A14:C14"/>
    <mergeCell ref="B15:C15"/>
    <mergeCell ref="D33:E33"/>
    <mergeCell ref="B47:C47"/>
    <mergeCell ref="A60:B60"/>
    <mergeCell ref="B62:C62"/>
    <mergeCell ref="D6:E6"/>
    <mergeCell ref="A7:C7"/>
    <mergeCell ref="A8:A9"/>
    <mergeCell ref="C8:C9"/>
    <mergeCell ref="D10:E10"/>
    <mergeCell ref="A13:B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3CB55-E7E0-4EC0-A0AD-88F078F400A3}">
  <dimension ref="A1:R76"/>
  <sheetViews>
    <sheetView topLeftCell="A61" zoomScale="90" zoomScaleNormal="90" workbookViewId="0">
      <selection activeCell="A73" sqref="A73"/>
    </sheetView>
  </sheetViews>
  <sheetFormatPr defaultRowHeight="14.4" x14ac:dyDescent="0.3"/>
  <cols>
    <col min="1" max="1" width="9.44140625" customWidth="1"/>
    <col min="2" max="2" width="34.44140625" customWidth="1"/>
    <col min="5" max="5" width="15" customWidth="1"/>
    <col min="6" max="6" width="15.33203125" bestFit="1" customWidth="1"/>
    <col min="7" max="7" width="86.109375" customWidth="1" collapsed="1"/>
    <col min="8" max="8" width="1.88671875" customWidth="1"/>
    <col min="9" max="9" width="14.77734375" customWidth="1"/>
    <col min="10" max="10" width="14.109375" customWidth="1"/>
    <col min="11" max="11" width="10.21875" customWidth="1"/>
    <col min="12" max="12" width="12.77734375" customWidth="1"/>
    <col min="13" max="13" width="13.6640625" customWidth="1"/>
    <col min="14" max="14" width="12.44140625" customWidth="1"/>
    <col min="15" max="15" width="10.88671875" bestFit="1" customWidth="1"/>
    <col min="16" max="17" width="9.77734375" customWidth="1"/>
  </cols>
  <sheetData>
    <row r="1" spans="1:18" x14ac:dyDescent="0.3">
      <c r="A1" s="243" t="s">
        <v>62</v>
      </c>
      <c r="B1" s="243"/>
      <c r="C1" s="243"/>
      <c r="D1" s="243"/>
      <c r="E1" s="243"/>
      <c r="F1" s="243"/>
      <c r="G1" s="243"/>
      <c r="H1" s="68"/>
      <c r="I1" s="134"/>
      <c r="J1" s="135"/>
      <c r="K1" s="135"/>
      <c r="L1" s="138"/>
      <c r="M1" s="139" t="s">
        <v>15</v>
      </c>
      <c r="N1" s="139" t="s">
        <v>16</v>
      </c>
      <c r="O1" s="140" t="s">
        <v>17</v>
      </c>
    </row>
    <row r="2" spans="1:18" x14ac:dyDescent="0.3">
      <c r="A2" s="243" t="s">
        <v>28</v>
      </c>
      <c r="B2" s="243"/>
      <c r="C2" s="243"/>
      <c r="D2" s="243"/>
      <c r="E2" s="243"/>
      <c r="F2" s="243"/>
      <c r="G2" s="243"/>
      <c r="H2" s="69"/>
      <c r="I2" s="136"/>
      <c r="J2" s="137"/>
      <c r="K2" s="137"/>
      <c r="L2" s="141" t="s">
        <v>42</v>
      </c>
      <c r="M2" s="142">
        <v>1064.51</v>
      </c>
      <c r="N2" s="143">
        <v>1783.25</v>
      </c>
      <c r="O2" s="142">
        <f>SUM(M2:N2)</f>
        <v>2847.76</v>
      </c>
    </row>
    <row r="3" spans="1:18" x14ac:dyDescent="0.3">
      <c r="A3" s="90" t="s">
        <v>63</v>
      </c>
      <c r="C3" s="2"/>
      <c r="D3" s="2"/>
      <c r="E3" s="1"/>
      <c r="F3" s="3"/>
      <c r="G3" s="16"/>
      <c r="I3" s="136"/>
      <c r="J3" s="137"/>
      <c r="K3" s="137"/>
      <c r="L3" s="141" t="s">
        <v>41</v>
      </c>
      <c r="M3" s="144">
        <v>83</v>
      </c>
      <c r="N3" s="144">
        <v>158</v>
      </c>
      <c r="O3" s="144">
        <f>M3+N3</f>
        <v>241</v>
      </c>
    </row>
    <row r="4" spans="1:18" ht="14.4" customHeight="1" x14ac:dyDescent="0.3">
      <c r="A4" s="90" t="s">
        <v>64</v>
      </c>
      <c r="C4" s="2"/>
      <c r="D4" s="2"/>
      <c r="E4" s="1"/>
      <c r="F4" s="3"/>
      <c r="G4" s="16"/>
      <c r="I4" s="155" t="s">
        <v>29</v>
      </c>
      <c r="J4" s="150" t="s">
        <v>32</v>
      </c>
      <c r="K4" s="151"/>
      <c r="L4" s="152"/>
      <c r="M4" s="167" t="s">
        <v>121</v>
      </c>
      <c r="N4" s="168"/>
      <c r="O4" s="169"/>
    </row>
    <row r="5" spans="1:18" ht="14.4" customHeight="1" x14ac:dyDescent="0.3">
      <c r="A5" s="243" t="s">
        <v>54</v>
      </c>
      <c r="B5" s="243"/>
      <c r="C5" s="243"/>
      <c r="D5" s="243"/>
      <c r="E5" s="243"/>
      <c r="F5" s="243"/>
      <c r="G5" s="16"/>
      <c r="I5" s="156"/>
      <c r="J5" s="157" t="s">
        <v>30</v>
      </c>
      <c r="K5" s="157" t="s">
        <v>31</v>
      </c>
      <c r="L5" s="158" t="s">
        <v>17</v>
      </c>
      <c r="M5" s="170" t="s">
        <v>30</v>
      </c>
      <c r="N5" s="170" t="s">
        <v>31</v>
      </c>
      <c r="O5" s="170" t="s">
        <v>37</v>
      </c>
    </row>
    <row r="6" spans="1:18" ht="14.4" customHeight="1" x14ac:dyDescent="0.3">
      <c r="A6" s="90" t="s">
        <v>52</v>
      </c>
      <c r="C6" s="2"/>
      <c r="D6" s="2"/>
      <c r="E6" s="91"/>
      <c r="F6" s="3"/>
      <c r="G6" s="16"/>
      <c r="I6" s="159" t="s">
        <v>26</v>
      </c>
      <c r="J6" s="157">
        <f>'[1]Смета 2024-2025'!C64</f>
        <v>1640.9268269604802</v>
      </c>
      <c r="K6" s="157">
        <f>'[1]Смета 2024-2025'!D64</f>
        <v>551.91674185899365</v>
      </c>
      <c r="L6" s="157">
        <f>'[1]Смета 2024-2025'!E64</f>
        <v>2192.8435688194741</v>
      </c>
      <c r="M6" s="171">
        <f>I50</f>
        <v>2098.9771056581958</v>
      </c>
      <c r="N6" s="171">
        <f>I64</f>
        <v>189.62272101581593</v>
      </c>
      <c r="O6" s="171">
        <f>SUM(M6:N6)</f>
        <v>2288.5998266740116</v>
      </c>
      <c r="P6" s="9"/>
    </row>
    <row r="7" spans="1:18" ht="14.4" customHeight="1" x14ac:dyDescent="0.3">
      <c r="A7" s="90" t="s">
        <v>65</v>
      </c>
      <c r="C7" s="2"/>
      <c r="D7" s="2"/>
      <c r="E7" s="1"/>
      <c r="F7" s="3"/>
      <c r="G7" s="16"/>
      <c r="I7" s="160" t="s">
        <v>27</v>
      </c>
      <c r="J7" s="161">
        <f>'[1]Смета 2024-2025'!C65</f>
        <v>1079.7401089887953</v>
      </c>
      <c r="K7" s="161">
        <f>'[1]Смета 2024-2025'!D65</f>
        <v>406.0801197614785</v>
      </c>
      <c r="L7" s="161">
        <f>'[1]Смета 2024-2025'!E65</f>
        <v>1485.8202287502738</v>
      </c>
      <c r="M7" s="172">
        <f>J50</f>
        <v>1299.1674646043987</v>
      </c>
      <c r="N7" s="172">
        <f>J64</f>
        <v>189.62272101581593</v>
      </c>
      <c r="O7" s="172">
        <f>SUM(M7:N7)</f>
        <v>1488.7901856202145</v>
      </c>
      <c r="P7" s="9"/>
    </row>
    <row r="8" spans="1:18" ht="14.4" customHeight="1" x14ac:dyDescent="0.3">
      <c r="A8" s="90" t="s">
        <v>53</v>
      </c>
      <c r="C8" s="2"/>
      <c r="D8" s="2"/>
      <c r="E8" s="1"/>
      <c r="F8" s="3"/>
      <c r="G8" s="16"/>
      <c r="I8" s="245" t="s">
        <v>59</v>
      </c>
      <c r="J8" s="162" t="s">
        <v>126</v>
      </c>
      <c r="K8" s="163"/>
      <c r="L8" s="164">
        <v>314.47000000000003</v>
      </c>
      <c r="M8" s="173" t="s">
        <v>126</v>
      </c>
      <c r="N8" s="176"/>
      <c r="O8" s="176">
        <f>J69</f>
        <v>346.43678160919541</v>
      </c>
      <c r="P8" s="231" t="s">
        <v>55</v>
      </c>
      <c r="Q8" s="231"/>
      <c r="R8" s="231"/>
    </row>
    <row r="9" spans="1:18" ht="14.4" customHeight="1" x14ac:dyDescent="0.3">
      <c r="C9" s="2"/>
      <c r="D9" s="2"/>
      <c r="E9" s="1"/>
      <c r="F9" s="3"/>
      <c r="G9" s="16"/>
      <c r="I9" s="246"/>
      <c r="J9" s="158" t="s">
        <v>125</v>
      </c>
      <c r="K9" s="165"/>
      <c r="L9" s="166">
        <v>625</v>
      </c>
      <c r="M9" s="175" t="s">
        <v>125</v>
      </c>
      <c r="N9" s="174"/>
      <c r="O9" s="177">
        <f>J72</f>
        <v>416.66666666666669</v>
      </c>
      <c r="P9" s="231"/>
      <c r="Q9" s="231"/>
      <c r="R9" s="231"/>
    </row>
    <row r="10" spans="1:18" x14ac:dyDescent="0.3">
      <c r="A10" s="244" t="s">
        <v>171</v>
      </c>
      <c r="B10" s="244"/>
      <c r="C10" s="244"/>
      <c r="D10" s="244"/>
      <c r="E10" s="244"/>
      <c r="F10" s="244"/>
      <c r="G10" s="244"/>
      <c r="M10" s="131"/>
      <c r="N10" s="132"/>
    </row>
    <row r="11" spans="1:18" ht="14.4" customHeight="1" x14ac:dyDescent="0.3">
      <c r="A11" s="92"/>
      <c r="C11" s="2"/>
      <c r="D11" s="2"/>
      <c r="E11" s="1"/>
      <c r="F11" s="3"/>
      <c r="G11" s="16"/>
      <c r="M11" s="132"/>
      <c r="N11" s="131"/>
    </row>
    <row r="12" spans="1:18" ht="15" customHeight="1" x14ac:dyDescent="0.3">
      <c r="B12" s="1"/>
      <c r="C12" s="2"/>
      <c r="D12" s="2"/>
      <c r="E12" s="1"/>
      <c r="F12" s="3"/>
      <c r="G12" s="89" t="s">
        <v>170</v>
      </c>
    </row>
    <row r="13" spans="1:18" x14ac:dyDescent="0.3">
      <c r="A13" s="5"/>
      <c r="C13" s="6"/>
      <c r="D13" s="6"/>
      <c r="E13" s="5"/>
      <c r="F13" s="4"/>
      <c r="G13" s="93"/>
      <c r="L13" s="127"/>
      <c r="M13" s="127"/>
      <c r="N13" s="23"/>
      <c r="O13" s="127"/>
    </row>
    <row r="14" spans="1:18" ht="18" x14ac:dyDescent="0.3">
      <c r="A14" s="94" t="s">
        <v>66</v>
      </c>
      <c r="B14" s="94"/>
      <c r="C14" s="95"/>
      <c r="D14" s="95"/>
      <c r="E14" s="94"/>
      <c r="F14" s="94"/>
      <c r="G14" s="94"/>
      <c r="L14" s="22"/>
      <c r="M14" s="22"/>
      <c r="N14" s="22"/>
      <c r="O14" s="145"/>
    </row>
    <row r="15" spans="1:18" ht="18.600000000000001" thickBot="1" x14ac:dyDescent="0.35">
      <c r="A15" s="232" t="s">
        <v>0</v>
      </c>
      <c r="B15" s="232"/>
      <c r="C15" s="8"/>
      <c r="D15" s="8"/>
      <c r="E15" s="7"/>
      <c r="F15" s="4"/>
      <c r="G15" s="17"/>
      <c r="I15" s="22" t="s">
        <v>26</v>
      </c>
      <c r="J15" s="22" t="s">
        <v>27</v>
      </c>
      <c r="L15" s="146"/>
      <c r="M15" s="230"/>
      <c r="N15" s="147"/>
      <c r="O15" s="147"/>
      <c r="P15" s="148"/>
      <c r="Q15" s="76"/>
    </row>
    <row r="16" spans="1:18" s="22" customFormat="1" ht="18.600000000000001" customHeight="1" x14ac:dyDescent="0.3">
      <c r="A16" s="240" t="s">
        <v>1</v>
      </c>
      <c r="B16" s="257" t="s">
        <v>3</v>
      </c>
      <c r="C16" s="257" t="s">
        <v>21</v>
      </c>
      <c r="D16" s="254" t="s">
        <v>22</v>
      </c>
      <c r="E16" s="254" t="s">
        <v>60</v>
      </c>
      <c r="F16" s="251" t="s">
        <v>57</v>
      </c>
      <c r="G16" s="248" t="s">
        <v>13</v>
      </c>
      <c r="I16" s="237" t="s">
        <v>14</v>
      </c>
      <c r="J16" s="237" t="s">
        <v>14</v>
      </c>
      <c r="L16" s="230"/>
      <c r="M16" s="230"/>
      <c r="N16" s="147"/>
      <c r="O16" s="147"/>
      <c r="P16" s="149"/>
      <c r="Q16" s="76"/>
    </row>
    <row r="17" spans="1:17" s="22" customFormat="1" ht="19.2" customHeight="1" x14ac:dyDescent="0.3">
      <c r="A17" s="241"/>
      <c r="B17" s="258"/>
      <c r="C17" s="258"/>
      <c r="D17" s="255"/>
      <c r="E17" s="255"/>
      <c r="F17" s="252"/>
      <c r="G17" s="249"/>
      <c r="I17" s="238"/>
      <c r="J17" s="238"/>
      <c r="L17" s="230"/>
      <c r="M17" s="230"/>
      <c r="N17" s="147"/>
      <c r="O17" s="147"/>
      <c r="P17" s="149"/>
      <c r="Q17" s="76"/>
    </row>
    <row r="18" spans="1:17" s="22" customFormat="1" ht="19.2" customHeight="1" thickBot="1" x14ac:dyDescent="0.35">
      <c r="A18" s="242"/>
      <c r="B18" s="259"/>
      <c r="C18" s="259"/>
      <c r="D18" s="256"/>
      <c r="E18" s="256"/>
      <c r="F18" s="253"/>
      <c r="G18" s="250"/>
      <c r="I18" s="239"/>
      <c r="J18" s="239"/>
      <c r="L18" s="230"/>
      <c r="M18" s="230"/>
      <c r="N18" s="147"/>
      <c r="O18" s="147"/>
      <c r="P18" s="149"/>
      <c r="Q18" s="76"/>
    </row>
    <row r="19" spans="1:17" ht="64.2" customHeight="1" thickBot="1" x14ac:dyDescent="0.35">
      <c r="A19" s="197">
        <v>1</v>
      </c>
      <c r="B19" s="198" t="s">
        <v>20</v>
      </c>
      <c r="C19" s="199" t="s">
        <v>6</v>
      </c>
      <c r="D19" s="199">
        <v>12</v>
      </c>
      <c r="E19" s="208">
        <v>28750</v>
      </c>
      <c r="F19" s="200">
        <f>28750*12</f>
        <v>345000</v>
      </c>
      <c r="G19" s="201" t="s">
        <v>172</v>
      </c>
      <c r="I19" s="10">
        <f>F19/O$2</f>
        <v>121.14784953788239</v>
      </c>
      <c r="J19" s="10">
        <f>F19/O$2</f>
        <v>121.14784953788239</v>
      </c>
      <c r="L19" s="76"/>
      <c r="M19" s="76"/>
      <c r="N19" s="76"/>
      <c r="O19" s="76"/>
      <c r="P19" s="76"/>
      <c r="Q19" s="76"/>
    </row>
    <row r="20" spans="1:17" ht="43.8" thickBot="1" x14ac:dyDescent="0.35">
      <c r="A20" s="218">
        <f>A19+1</f>
        <v>2</v>
      </c>
      <c r="B20" s="219" t="s">
        <v>166</v>
      </c>
      <c r="C20" s="220" t="s">
        <v>10</v>
      </c>
      <c r="D20" s="220">
        <v>1</v>
      </c>
      <c r="E20" s="221">
        <v>28750</v>
      </c>
      <c r="F20" s="44">
        <f>E20</f>
        <v>28750</v>
      </c>
      <c r="G20" s="222" t="s">
        <v>165</v>
      </c>
      <c r="I20" s="10">
        <f t="shared" ref="I20:I21" si="0">F20/O$2</f>
        <v>10.095654128156866</v>
      </c>
      <c r="J20" s="10">
        <f t="shared" ref="J20:J21" si="1">F20/O$2</f>
        <v>10.095654128156866</v>
      </c>
      <c r="L20" s="76"/>
      <c r="M20" s="76"/>
      <c r="N20" s="76"/>
      <c r="O20" s="76"/>
      <c r="P20" s="76"/>
      <c r="Q20" s="76"/>
    </row>
    <row r="21" spans="1:17" ht="19.2" customHeight="1" thickBot="1" x14ac:dyDescent="0.35">
      <c r="A21" s="197">
        <f t="shared" ref="A21:A26" si="2">A20+1</f>
        <v>3</v>
      </c>
      <c r="B21" s="183" t="s">
        <v>7</v>
      </c>
      <c r="C21" s="32" t="s">
        <v>6</v>
      </c>
      <c r="D21" s="32">
        <v>12</v>
      </c>
      <c r="E21" s="196">
        <v>0.30199999999999999</v>
      </c>
      <c r="F21" s="44">
        <f>(F19+F20)*E21</f>
        <v>112872.5</v>
      </c>
      <c r="G21" s="33" t="s">
        <v>33</v>
      </c>
      <c r="I21" s="10">
        <f t="shared" si="0"/>
        <v>39.635538107143859</v>
      </c>
      <c r="J21" s="10">
        <f t="shared" si="1"/>
        <v>39.635538107143859</v>
      </c>
      <c r="L21" s="75"/>
      <c r="M21" s="75"/>
      <c r="N21" s="75"/>
      <c r="O21" s="75"/>
      <c r="P21" s="75"/>
      <c r="Q21" s="75"/>
    </row>
    <row r="22" spans="1:17" ht="125.4" customHeight="1" thickBot="1" x14ac:dyDescent="0.35">
      <c r="A22" s="197">
        <f t="shared" si="2"/>
        <v>4</v>
      </c>
      <c r="B22" s="120" t="s">
        <v>133</v>
      </c>
      <c r="C22" s="32" t="s">
        <v>6</v>
      </c>
      <c r="D22" s="32">
        <v>12</v>
      </c>
      <c r="E22" s="195">
        <v>100000</v>
      </c>
      <c r="F22" s="44">
        <f>E22*12</f>
        <v>1200000</v>
      </c>
      <c r="G22" s="33" t="s">
        <v>134</v>
      </c>
      <c r="I22" s="10">
        <f t="shared" ref="I22" si="3">F22/O$2</f>
        <v>421.38382447959094</v>
      </c>
      <c r="J22" s="10">
        <f t="shared" ref="J22" si="4">F22/O$2</f>
        <v>421.38382447959094</v>
      </c>
      <c r="L22" s="75"/>
      <c r="M22" s="75"/>
      <c r="N22" s="75"/>
      <c r="O22" s="75"/>
      <c r="P22" s="75"/>
      <c r="Q22" s="75"/>
    </row>
    <row r="23" spans="1:17" ht="159.6" customHeight="1" thickBot="1" x14ac:dyDescent="0.35">
      <c r="A23" s="197">
        <f t="shared" si="2"/>
        <v>5</v>
      </c>
      <c r="B23" s="179" t="s">
        <v>83</v>
      </c>
      <c r="C23" s="12" t="s">
        <v>6</v>
      </c>
      <c r="D23" s="12">
        <v>12</v>
      </c>
      <c r="E23" s="202">
        <v>20000</v>
      </c>
      <c r="F23" s="13">
        <f t="shared" ref="F23:F47" si="5">D23*E23</f>
        <v>240000</v>
      </c>
      <c r="G23" s="30" t="s">
        <v>155</v>
      </c>
      <c r="I23" s="10">
        <f t="shared" ref="I23" si="6">F23/O$2</f>
        <v>84.276764895918191</v>
      </c>
      <c r="J23" s="10">
        <f t="shared" ref="J23" si="7">F23/O$2</f>
        <v>84.276764895918191</v>
      </c>
    </row>
    <row r="24" spans="1:17" ht="29.4" thickBot="1" x14ac:dyDescent="0.35">
      <c r="A24" s="197">
        <f t="shared" si="2"/>
        <v>6</v>
      </c>
      <c r="B24" s="179" t="s">
        <v>150</v>
      </c>
      <c r="C24" s="12" t="s">
        <v>10</v>
      </c>
      <c r="D24" s="12">
        <v>1</v>
      </c>
      <c r="E24" s="202">
        <v>25000</v>
      </c>
      <c r="F24" s="13">
        <f t="shared" si="5"/>
        <v>25000</v>
      </c>
      <c r="G24" s="30" t="s">
        <v>135</v>
      </c>
      <c r="I24" s="10">
        <f t="shared" ref="I24" si="8">F24/O$2</f>
        <v>8.7788296766581446</v>
      </c>
      <c r="J24" s="10">
        <f t="shared" ref="J24" si="9">F24/O$2</f>
        <v>8.7788296766581446</v>
      </c>
    </row>
    <row r="25" spans="1:17" ht="15" thickBot="1" x14ac:dyDescent="0.35">
      <c r="A25" s="197">
        <f t="shared" si="2"/>
        <v>7</v>
      </c>
      <c r="B25" s="179" t="s">
        <v>139</v>
      </c>
      <c r="C25" s="12" t="s">
        <v>10</v>
      </c>
      <c r="D25" s="12">
        <v>1</v>
      </c>
      <c r="E25" s="202">
        <v>15000</v>
      </c>
      <c r="F25" s="13">
        <f>E25</f>
        <v>15000</v>
      </c>
      <c r="G25" s="30" t="s">
        <v>140</v>
      </c>
      <c r="I25" s="10">
        <f t="shared" ref="I25:I26" si="10">F25/O$2</f>
        <v>5.267297805994887</v>
      </c>
      <c r="J25" s="10">
        <f t="shared" ref="J25:J26" si="11">F25/O$2</f>
        <v>5.267297805994887</v>
      </c>
    </row>
    <row r="26" spans="1:17" ht="28.8" x14ac:dyDescent="0.3">
      <c r="A26" s="197">
        <f t="shared" si="2"/>
        <v>8</v>
      </c>
      <c r="B26" s="120" t="s">
        <v>8</v>
      </c>
      <c r="C26" s="32" t="s">
        <v>9</v>
      </c>
      <c r="D26" s="32">
        <v>12</v>
      </c>
      <c r="E26" s="194">
        <v>4500</v>
      </c>
      <c r="F26" s="44">
        <f>D26*E26+2500</f>
        <v>56500</v>
      </c>
      <c r="G26" s="33" t="s">
        <v>156</v>
      </c>
      <c r="I26" s="10">
        <f t="shared" si="10"/>
        <v>19.840155069247405</v>
      </c>
      <c r="J26" s="10">
        <f t="shared" si="11"/>
        <v>19.840155069247405</v>
      </c>
    </row>
    <row r="27" spans="1:17" ht="127.2" customHeight="1" x14ac:dyDescent="0.3">
      <c r="A27" s="180">
        <f t="shared" ref="A27:A47" si="12">A26+1</f>
        <v>9</v>
      </c>
      <c r="B27" s="120" t="s">
        <v>39</v>
      </c>
      <c r="C27" s="32" t="s">
        <v>10</v>
      </c>
      <c r="D27" s="32">
        <v>1</v>
      </c>
      <c r="E27" s="194">
        <f>700*200</f>
        <v>140000</v>
      </c>
      <c r="F27" s="44">
        <f>E27</f>
        <v>140000</v>
      </c>
      <c r="G27" s="33" t="s">
        <v>157</v>
      </c>
      <c r="I27" s="10">
        <f t="shared" ref="I27" si="13">F27/O$2</f>
        <v>49.161446189285613</v>
      </c>
      <c r="J27" s="10">
        <f t="shared" ref="J27" si="14">F27/O$2</f>
        <v>49.161446189285613</v>
      </c>
    </row>
    <row r="28" spans="1:17" ht="86.4" x14ac:dyDescent="0.3">
      <c r="A28" s="180">
        <f t="shared" si="12"/>
        <v>10</v>
      </c>
      <c r="B28" s="120" t="s">
        <v>45</v>
      </c>
      <c r="C28" s="32" t="s">
        <v>67</v>
      </c>
      <c r="D28" s="32">
        <v>250</v>
      </c>
      <c r="E28" s="194">
        <v>400</v>
      </c>
      <c r="F28" s="44">
        <f t="shared" si="5"/>
        <v>100000</v>
      </c>
      <c r="G28" s="33" t="s">
        <v>131</v>
      </c>
      <c r="I28" s="10">
        <f t="shared" ref="I28:I30" si="15">F28/O$2</f>
        <v>35.115318706632578</v>
      </c>
      <c r="J28" s="10">
        <f t="shared" ref="J28:J30" si="16">F28/O$2</f>
        <v>35.115318706632578</v>
      </c>
    </row>
    <row r="29" spans="1:17" ht="165" customHeight="1" x14ac:dyDescent="0.3">
      <c r="A29" s="180">
        <f t="shared" si="12"/>
        <v>11</v>
      </c>
      <c r="B29" s="120" t="s">
        <v>141</v>
      </c>
      <c r="C29" s="32" t="s">
        <v>18</v>
      </c>
      <c r="D29" s="32">
        <v>5</v>
      </c>
      <c r="E29" s="194">
        <f>100000</f>
        <v>100000</v>
      </c>
      <c r="F29" s="44">
        <f t="shared" si="5"/>
        <v>500000</v>
      </c>
      <c r="G29" s="33" t="s">
        <v>132</v>
      </c>
      <c r="I29" s="10">
        <f t="shared" si="15"/>
        <v>175.57659353316291</v>
      </c>
      <c r="J29" s="10">
        <f t="shared" si="16"/>
        <v>175.57659353316291</v>
      </c>
    </row>
    <row r="30" spans="1:17" ht="62.4" customHeight="1" x14ac:dyDescent="0.3">
      <c r="A30" s="180">
        <f t="shared" si="12"/>
        <v>12</v>
      </c>
      <c r="B30" s="120" t="s">
        <v>68</v>
      </c>
      <c r="C30" s="32" t="s">
        <v>9</v>
      </c>
      <c r="D30" s="32">
        <v>12</v>
      </c>
      <c r="E30" s="194">
        <v>10000</v>
      </c>
      <c r="F30" s="44">
        <f t="shared" si="5"/>
        <v>120000</v>
      </c>
      <c r="G30" s="33" t="s">
        <v>43</v>
      </c>
      <c r="I30" s="10">
        <f t="shared" si="15"/>
        <v>42.138382447959096</v>
      </c>
      <c r="J30" s="10">
        <f t="shared" si="16"/>
        <v>42.138382447959096</v>
      </c>
    </row>
    <row r="31" spans="1:17" ht="77.400000000000006" customHeight="1" thickBot="1" x14ac:dyDescent="0.35">
      <c r="A31" s="37">
        <f t="shared" si="12"/>
        <v>13</v>
      </c>
      <c r="B31" s="43" t="s">
        <v>113</v>
      </c>
      <c r="C31" s="39" t="s">
        <v>10</v>
      </c>
      <c r="D31" s="39">
        <v>1</v>
      </c>
      <c r="E31" s="40">
        <f>10*10000+135000</f>
        <v>235000</v>
      </c>
      <c r="F31" s="41">
        <f t="shared" si="5"/>
        <v>235000</v>
      </c>
      <c r="G31" s="42" t="s">
        <v>136</v>
      </c>
      <c r="I31" s="10">
        <f>F31/M$2</f>
        <v>220.75884679336033</v>
      </c>
      <c r="J31" s="28"/>
    </row>
    <row r="32" spans="1:17" ht="46.8" customHeight="1" thickTop="1" x14ac:dyDescent="0.3">
      <c r="A32" s="101" t="s">
        <v>161</v>
      </c>
      <c r="B32" s="18" t="s">
        <v>58</v>
      </c>
      <c r="C32" s="24" t="s">
        <v>9</v>
      </c>
      <c r="D32" s="24">
        <v>12</v>
      </c>
      <c r="E32" s="25">
        <v>15000</v>
      </c>
      <c r="F32" s="26">
        <f>D32*E32</f>
        <v>180000</v>
      </c>
      <c r="G32" s="30" t="s">
        <v>70</v>
      </c>
      <c r="I32" s="10">
        <f>F32/M$2</f>
        <v>169.09188265023343</v>
      </c>
      <c r="J32" s="28"/>
    </row>
    <row r="33" spans="1:11" x14ac:dyDescent="0.3">
      <c r="A33" s="101" t="s">
        <v>162</v>
      </c>
      <c r="B33" s="18" t="s">
        <v>19</v>
      </c>
      <c r="C33" s="24" t="s">
        <v>10</v>
      </c>
      <c r="D33" s="24">
        <v>12</v>
      </c>
      <c r="E33" s="27">
        <v>5000</v>
      </c>
      <c r="F33" s="26">
        <f t="shared" ref="F33:F34" si="17">D33*E33</f>
        <v>60000</v>
      </c>
      <c r="G33" s="30" t="s">
        <v>71</v>
      </c>
      <c r="I33" s="10">
        <f>F33/O$2</f>
        <v>21.069191223979548</v>
      </c>
      <c r="J33" s="10">
        <f>F33/O$2</f>
        <v>21.069191223979548</v>
      </c>
    </row>
    <row r="34" spans="1:11" ht="16.8" customHeight="1" thickBot="1" x14ac:dyDescent="0.35">
      <c r="A34" s="102" t="s">
        <v>163</v>
      </c>
      <c r="B34" s="65" t="s">
        <v>61</v>
      </c>
      <c r="C34" s="34" t="s">
        <v>10</v>
      </c>
      <c r="D34" s="34">
        <v>12</v>
      </c>
      <c r="E34" s="35">
        <v>20000</v>
      </c>
      <c r="F34" s="36">
        <f t="shared" si="17"/>
        <v>240000</v>
      </c>
      <c r="G34" s="31" t="s">
        <v>72</v>
      </c>
      <c r="I34" s="10">
        <f>F34/M$2</f>
        <v>225.45584353364458</v>
      </c>
      <c r="J34" s="28"/>
    </row>
    <row r="35" spans="1:11" ht="87" thickTop="1" x14ac:dyDescent="0.3">
      <c r="A35" s="188" t="s">
        <v>164</v>
      </c>
      <c r="B35" s="189" t="s">
        <v>69</v>
      </c>
      <c r="C35" s="190" t="s">
        <v>18</v>
      </c>
      <c r="D35" s="190">
        <v>1</v>
      </c>
      <c r="E35" s="191">
        <v>50000</v>
      </c>
      <c r="F35" s="192">
        <f t="shared" si="5"/>
        <v>50000</v>
      </c>
      <c r="G35" s="193" t="s">
        <v>127</v>
      </c>
      <c r="I35" s="10">
        <f>F35/M$2</f>
        <v>46.96996740284262</v>
      </c>
      <c r="J35" s="28"/>
    </row>
    <row r="36" spans="1:11" x14ac:dyDescent="0.3">
      <c r="A36" s="180">
        <v>15</v>
      </c>
      <c r="B36" s="184" t="str">
        <f>B69</f>
        <v>Вывоз мусора*</v>
      </c>
      <c r="C36" s="185"/>
      <c r="D36" s="185"/>
      <c r="E36" s="185"/>
      <c r="F36" s="186">
        <f>F69</f>
        <v>241120.00000000003</v>
      </c>
      <c r="G36" s="187" t="s">
        <v>47</v>
      </c>
      <c r="I36" s="129"/>
      <c r="J36" s="129"/>
    </row>
    <row r="37" spans="1:11" x14ac:dyDescent="0.3">
      <c r="A37" s="180">
        <f t="shared" si="12"/>
        <v>16</v>
      </c>
      <c r="B37" s="183" t="s">
        <v>38</v>
      </c>
      <c r="C37" s="32" t="s">
        <v>18</v>
      </c>
      <c r="D37" s="32">
        <v>4</v>
      </c>
      <c r="E37" s="181">
        <v>7000</v>
      </c>
      <c r="F37" s="44">
        <f>D37*E37</f>
        <v>28000</v>
      </c>
      <c r="G37" s="33" t="s">
        <v>129</v>
      </c>
      <c r="I37" s="10">
        <f>F37/O$2</f>
        <v>9.8322892378571218</v>
      </c>
      <c r="J37" s="10">
        <f>F37/O$2</f>
        <v>9.8322892378571218</v>
      </c>
    </row>
    <row r="38" spans="1:11" ht="47.4" customHeight="1" x14ac:dyDescent="0.3">
      <c r="A38" s="180">
        <f t="shared" si="12"/>
        <v>17</v>
      </c>
      <c r="B38" s="183" t="s">
        <v>23</v>
      </c>
      <c r="C38" s="32" t="s">
        <v>18</v>
      </c>
      <c r="D38" s="32">
        <v>12</v>
      </c>
      <c r="E38" s="181">
        <v>1000</v>
      </c>
      <c r="F38" s="44">
        <f t="shared" si="5"/>
        <v>12000</v>
      </c>
      <c r="G38" s="33" t="s">
        <v>44</v>
      </c>
      <c r="I38" s="10">
        <f t="shared" ref="I38" si="18">F38/O$2</f>
        <v>4.2138382447959097</v>
      </c>
      <c r="J38" s="10">
        <f t="shared" ref="J38" si="19">F38/O$2</f>
        <v>4.2138382447959097</v>
      </c>
    </row>
    <row r="39" spans="1:11" x14ac:dyDescent="0.3">
      <c r="A39" s="180">
        <f t="shared" si="12"/>
        <v>18</v>
      </c>
      <c r="B39" s="183" t="s">
        <v>82</v>
      </c>
      <c r="C39" s="32" t="s">
        <v>18</v>
      </c>
      <c r="D39" s="32">
        <v>3</v>
      </c>
      <c r="E39" s="181">
        <v>21000</v>
      </c>
      <c r="F39" s="44">
        <f t="shared" si="5"/>
        <v>63000</v>
      </c>
      <c r="G39" s="182" t="s">
        <v>108</v>
      </c>
      <c r="I39" s="10">
        <f t="shared" ref="I39" si="20">F39/O$2</f>
        <v>22.122650785178525</v>
      </c>
      <c r="J39" s="10">
        <f t="shared" ref="J39" si="21">F39/O$2</f>
        <v>22.122650785178525</v>
      </c>
    </row>
    <row r="40" spans="1:11" ht="136.19999999999999" customHeight="1" x14ac:dyDescent="0.3">
      <c r="A40" s="180">
        <f t="shared" si="12"/>
        <v>19</v>
      </c>
      <c r="B40" s="120" t="s">
        <v>109</v>
      </c>
      <c r="C40" s="32" t="s">
        <v>18</v>
      </c>
      <c r="D40" s="32">
        <v>1</v>
      </c>
      <c r="E40" s="181">
        <f>40000+14000+10000</f>
        <v>64000</v>
      </c>
      <c r="F40" s="44">
        <f t="shared" si="5"/>
        <v>64000</v>
      </c>
      <c r="G40" s="182" t="s">
        <v>173</v>
      </c>
      <c r="I40" s="10">
        <f>F40/M$2</f>
        <v>60.121558275638556</v>
      </c>
      <c r="J40" s="28"/>
    </row>
    <row r="41" spans="1:11" ht="164.4" customHeight="1" x14ac:dyDescent="0.3">
      <c r="A41" s="180">
        <f t="shared" si="12"/>
        <v>20</v>
      </c>
      <c r="B41" s="120" t="s">
        <v>110</v>
      </c>
      <c r="C41" s="32" t="s">
        <v>18</v>
      </c>
      <c r="D41" s="32">
        <v>1</v>
      </c>
      <c r="E41" s="181">
        <f>40000+14000+10000</f>
        <v>64000</v>
      </c>
      <c r="F41" s="44">
        <f t="shared" si="5"/>
        <v>64000</v>
      </c>
      <c r="G41" s="182" t="s">
        <v>174</v>
      </c>
      <c r="I41" s="28"/>
      <c r="J41" s="10">
        <f>F41/N2</f>
        <v>35.889527548016261</v>
      </c>
      <c r="K41">
        <f>38500*3</f>
        <v>115500</v>
      </c>
    </row>
    <row r="42" spans="1:11" x14ac:dyDescent="0.3">
      <c r="A42" s="180">
        <f t="shared" si="12"/>
        <v>21</v>
      </c>
      <c r="B42" s="133" t="s">
        <v>46</v>
      </c>
      <c r="C42" s="121" t="s">
        <v>9</v>
      </c>
      <c r="D42" s="121">
        <v>5</v>
      </c>
      <c r="E42" s="57">
        <f>12000*4</f>
        <v>48000</v>
      </c>
      <c r="F42" s="44">
        <f>D42*E42</f>
        <v>240000</v>
      </c>
      <c r="G42" s="122" t="s">
        <v>137</v>
      </c>
      <c r="I42" s="10">
        <f>F42/M$2</f>
        <v>225.45584353364458</v>
      </c>
      <c r="J42" s="28"/>
    </row>
    <row r="43" spans="1:11" ht="72" customHeight="1" x14ac:dyDescent="0.3">
      <c r="A43" s="180">
        <f t="shared" si="12"/>
        <v>22</v>
      </c>
      <c r="B43" s="120" t="s">
        <v>81</v>
      </c>
      <c r="C43" s="121" t="s">
        <v>9</v>
      </c>
      <c r="D43" s="121">
        <v>5</v>
      </c>
      <c r="E43" s="57">
        <f>10000*4</f>
        <v>40000</v>
      </c>
      <c r="F43" s="44">
        <f>D43*E43</f>
        <v>200000</v>
      </c>
      <c r="G43" s="122" t="s">
        <v>138</v>
      </c>
      <c r="I43" s="28"/>
      <c r="J43" s="10">
        <f>F43/N$2</f>
        <v>112.15477358755082</v>
      </c>
    </row>
    <row r="44" spans="1:11" ht="28.8" x14ac:dyDescent="0.3">
      <c r="A44" s="178">
        <f t="shared" si="12"/>
        <v>23</v>
      </c>
      <c r="B44" s="179" t="s">
        <v>123</v>
      </c>
      <c r="C44" s="11" t="s">
        <v>124</v>
      </c>
      <c r="D44" s="11">
        <v>5</v>
      </c>
      <c r="E44" s="14">
        <v>6000</v>
      </c>
      <c r="F44" s="13">
        <f>F72</f>
        <v>30000</v>
      </c>
      <c r="G44" s="77" t="s">
        <v>128</v>
      </c>
      <c r="I44" s="128"/>
      <c r="J44" s="128"/>
    </row>
    <row r="45" spans="1:11" ht="34.200000000000003" customHeight="1" x14ac:dyDescent="0.3">
      <c r="A45" s="178">
        <f t="shared" si="12"/>
        <v>24</v>
      </c>
      <c r="B45" s="15" t="s">
        <v>114</v>
      </c>
      <c r="C45" s="12" t="s">
        <v>18</v>
      </c>
      <c r="D45" s="12">
        <v>1</v>
      </c>
      <c r="E45" s="14">
        <v>50000</v>
      </c>
      <c r="F45" s="13">
        <f>D45*E45</f>
        <v>50000</v>
      </c>
      <c r="G45" s="30" t="s">
        <v>115</v>
      </c>
      <c r="I45" s="10">
        <f t="shared" ref="I45" si="22">F45/O$2</f>
        <v>17.557659353316289</v>
      </c>
      <c r="J45" s="10">
        <f t="shared" ref="J45" si="23">F45/O$2</f>
        <v>17.557659353316289</v>
      </c>
    </row>
    <row r="46" spans="1:11" x14ac:dyDescent="0.3">
      <c r="A46" s="178">
        <f t="shared" si="12"/>
        <v>25</v>
      </c>
      <c r="B46" s="215" t="s">
        <v>158</v>
      </c>
      <c r="C46" s="216" t="s">
        <v>159</v>
      </c>
      <c r="D46" s="216">
        <v>4</v>
      </c>
      <c r="E46" s="217">
        <v>30000</v>
      </c>
      <c r="F46" s="13">
        <f>D46*E46</f>
        <v>120000</v>
      </c>
      <c r="G46" s="225" t="s">
        <v>160</v>
      </c>
      <c r="H46" s="63"/>
      <c r="I46" s="64">
        <f t="shared" ref="I46:I47" si="24">F46/O$2</f>
        <v>42.138382447959096</v>
      </c>
      <c r="J46" s="64">
        <f t="shared" ref="J46:J47" si="25">F46/O$2</f>
        <v>42.138382447959096</v>
      </c>
    </row>
    <row r="47" spans="1:11" ht="19.8" customHeight="1" thickBot="1" x14ac:dyDescent="0.35">
      <c r="A47" s="178">
        <f t="shared" si="12"/>
        <v>26</v>
      </c>
      <c r="B47" s="38" t="s">
        <v>24</v>
      </c>
      <c r="C47" s="39" t="s">
        <v>9</v>
      </c>
      <c r="D47" s="39">
        <v>12</v>
      </c>
      <c r="E47" s="40">
        <v>1000</v>
      </c>
      <c r="F47" s="41">
        <f t="shared" si="5"/>
        <v>12000</v>
      </c>
      <c r="G47" s="42" t="s">
        <v>80</v>
      </c>
      <c r="I47" s="10">
        <f t="shared" si="24"/>
        <v>4.2138382447959097</v>
      </c>
      <c r="J47" s="10">
        <f t="shared" si="25"/>
        <v>4.2138382447959097</v>
      </c>
    </row>
    <row r="48" spans="1:11" s="63" customFormat="1" ht="15.6" thickTop="1" thickBot="1" x14ac:dyDescent="0.35">
      <c r="A48" s="70"/>
      <c r="B48" s="71"/>
      <c r="C48" s="72"/>
      <c r="D48" s="72"/>
      <c r="E48" s="73"/>
      <c r="F48" s="74">
        <f>SUM(F19:F47)</f>
        <v>4772242.5</v>
      </c>
      <c r="G48" s="66"/>
      <c r="I48" s="64">
        <f>SUM(I19:I47)</f>
        <v>2081.4194463048793</v>
      </c>
      <c r="J48" s="64">
        <f>SUM(J19:J47)</f>
        <v>1281.6098052510824</v>
      </c>
    </row>
    <row r="49" spans="1:15" ht="112.2" customHeight="1" thickTop="1" thickBot="1" x14ac:dyDescent="0.35">
      <c r="A49" s="123">
        <f>A47+1</f>
        <v>27</v>
      </c>
      <c r="B49" s="78" t="s">
        <v>36</v>
      </c>
      <c r="C49" s="79"/>
      <c r="D49" s="79"/>
      <c r="E49" s="80"/>
      <c r="F49" s="81">
        <v>50000</v>
      </c>
      <c r="G49" s="82" t="s">
        <v>130</v>
      </c>
      <c r="I49" s="10">
        <f t="shared" ref="I49" si="26">F49/O$2</f>
        <v>17.557659353316289</v>
      </c>
      <c r="J49" s="10">
        <f t="shared" ref="J49" si="27">F49/O$2</f>
        <v>17.557659353316289</v>
      </c>
    </row>
    <row r="50" spans="1:15" ht="15" thickBot="1" x14ac:dyDescent="0.35">
      <c r="A50" s="233"/>
      <c r="B50" s="234"/>
      <c r="C50" s="96"/>
      <c r="D50" s="96"/>
      <c r="E50" s="97" t="s">
        <v>11</v>
      </c>
      <c r="F50" s="98">
        <f>SUM(F48:F49)</f>
        <v>4822242.5</v>
      </c>
      <c r="G50" s="99"/>
      <c r="I50" s="29">
        <f>SUM(I48:I49)</f>
        <v>2098.9771056581958</v>
      </c>
      <c r="J50" s="29">
        <f>SUM(J48:J49)</f>
        <v>1299.1674646043987</v>
      </c>
      <c r="L50" s="153"/>
      <c r="M50" s="153"/>
      <c r="N50" s="153"/>
      <c r="O50" s="9"/>
    </row>
    <row r="51" spans="1:15" x14ac:dyDescent="0.3">
      <c r="A51" s="247"/>
      <c r="B51" s="247"/>
      <c r="C51" s="6"/>
      <c r="D51" s="6"/>
      <c r="E51" s="5"/>
      <c r="F51" s="4"/>
      <c r="G51" s="16"/>
      <c r="I51" s="20"/>
      <c r="J51" s="23"/>
      <c r="O51" s="9"/>
    </row>
    <row r="52" spans="1:15" ht="18.600000000000001" thickBot="1" x14ac:dyDescent="0.35">
      <c r="A52" s="232" t="s">
        <v>2</v>
      </c>
      <c r="B52" s="232"/>
      <c r="C52" s="8"/>
      <c r="D52" s="8"/>
      <c r="E52" s="7"/>
      <c r="F52" s="4"/>
      <c r="G52" s="17"/>
    </row>
    <row r="53" spans="1:15" s="22" customFormat="1" ht="48" customHeight="1" thickBot="1" x14ac:dyDescent="0.35">
      <c r="A53" s="49" t="s">
        <v>1</v>
      </c>
      <c r="B53" s="50" t="s">
        <v>3</v>
      </c>
      <c r="C53" s="51" t="s">
        <v>119</v>
      </c>
      <c r="D53" s="51" t="s">
        <v>4</v>
      </c>
      <c r="E53" s="50" t="s">
        <v>5</v>
      </c>
      <c r="F53" s="52" t="s">
        <v>74</v>
      </c>
      <c r="G53" s="67" t="s">
        <v>13</v>
      </c>
      <c r="I53" s="19" t="s">
        <v>14</v>
      </c>
      <c r="J53" s="19" t="s">
        <v>14</v>
      </c>
    </row>
    <row r="54" spans="1:15" x14ac:dyDescent="0.3">
      <c r="A54" s="124">
        <v>28</v>
      </c>
      <c r="B54" s="54" t="s">
        <v>75</v>
      </c>
      <c r="C54" s="55" t="s">
        <v>18</v>
      </c>
      <c r="D54" s="56">
        <v>1</v>
      </c>
      <c r="E54" s="57">
        <v>25000</v>
      </c>
      <c r="F54" s="44">
        <f t="shared" ref="F54:F59" si="28">D54*E54</f>
        <v>25000</v>
      </c>
      <c r="G54" s="33" t="s">
        <v>76</v>
      </c>
      <c r="I54" s="10">
        <f t="shared" ref="I54:I59" si="29">F54/O$2</f>
        <v>8.7788296766581446</v>
      </c>
      <c r="J54" s="10">
        <f t="shared" ref="J54:J59" si="30">F54/O$2</f>
        <v>8.7788296766581446</v>
      </c>
    </row>
    <row r="55" spans="1:15" ht="28.8" x14ac:dyDescent="0.3">
      <c r="A55" s="227">
        <f>A54+1</f>
        <v>29</v>
      </c>
      <c r="B55" s="228" t="s">
        <v>167</v>
      </c>
      <c r="C55" s="229" t="s">
        <v>18</v>
      </c>
      <c r="D55" s="223">
        <v>1</v>
      </c>
      <c r="E55" s="224">
        <v>50000</v>
      </c>
      <c r="F55" s="44">
        <f t="shared" si="28"/>
        <v>50000</v>
      </c>
      <c r="G55" s="222" t="s">
        <v>169</v>
      </c>
      <c r="I55" s="10">
        <f t="shared" ref="I55:I56" si="31">F55/O$2</f>
        <v>17.557659353316289</v>
      </c>
      <c r="J55" s="10">
        <f t="shared" ref="J55:J56" si="32">F55/O$2</f>
        <v>17.557659353316289</v>
      </c>
    </row>
    <row r="56" spans="1:15" x14ac:dyDescent="0.3">
      <c r="A56" s="124">
        <f>A55+1</f>
        <v>30</v>
      </c>
      <c r="B56" s="54" t="s">
        <v>142</v>
      </c>
      <c r="C56" s="55" t="s">
        <v>18</v>
      </c>
      <c r="D56" s="56">
        <v>1</v>
      </c>
      <c r="E56" s="57">
        <v>25000</v>
      </c>
      <c r="F56" s="44">
        <f t="shared" si="28"/>
        <v>25000</v>
      </c>
      <c r="G56" s="33" t="s">
        <v>143</v>
      </c>
      <c r="I56" s="10">
        <f t="shared" si="31"/>
        <v>8.7788296766581446</v>
      </c>
      <c r="J56" s="10">
        <f t="shared" si="32"/>
        <v>8.7788296766581446</v>
      </c>
    </row>
    <row r="57" spans="1:15" x14ac:dyDescent="0.3">
      <c r="A57" s="124">
        <f t="shared" ref="A57:A63" si="33">A56+1</f>
        <v>31</v>
      </c>
      <c r="B57" s="54" t="s">
        <v>77</v>
      </c>
      <c r="C57" s="55" t="s">
        <v>18</v>
      </c>
      <c r="D57" s="56">
        <v>3</v>
      </c>
      <c r="E57" s="57">
        <v>10000</v>
      </c>
      <c r="F57" s="44">
        <f t="shared" si="28"/>
        <v>30000</v>
      </c>
      <c r="G57" s="33" t="s">
        <v>76</v>
      </c>
      <c r="I57" s="10">
        <f t="shared" ref="I57" si="34">F57/O$2</f>
        <v>10.534595611989774</v>
      </c>
      <c r="J57" s="10">
        <f t="shared" ref="J57" si="35">F57/O$2</f>
        <v>10.534595611989774</v>
      </c>
    </row>
    <row r="58" spans="1:15" x14ac:dyDescent="0.3">
      <c r="A58" s="124">
        <f t="shared" si="33"/>
        <v>32</v>
      </c>
      <c r="B58" s="54" t="s">
        <v>117</v>
      </c>
      <c r="C58" s="55" t="s">
        <v>10</v>
      </c>
      <c r="D58" s="56">
        <v>1</v>
      </c>
      <c r="E58" s="57">
        <v>100000</v>
      </c>
      <c r="F58" s="44">
        <f t="shared" si="28"/>
        <v>100000</v>
      </c>
      <c r="G58" s="33" t="s">
        <v>118</v>
      </c>
      <c r="I58" s="10">
        <f t="shared" ref="I58" si="36">F58/O$2</f>
        <v>35.115318706632578</v>
      </c>
      <c r="J58" s="10">
        <f t="shared" ref="J58" si="37">F58/O$2</f>
        <v>35.115318706632578</v>
      </c>
    </row>
    <row r="59" spans="1:15" ht="28.8" customHeight="1" x14ac:dyDescent="0.3">
      <c r="A59" s="124">
        <f t="shared" si="33"/>
        <v>33</v>
      </c>
      <c r="B59" s="54" t="s">
        <v>78</v>
      </c>
      <c r="C59" s="55" t="s">
        <v>10</v>
      </c>
      <c r="D59" s="56">
        <v>1</v>
      </c>
      <c r="E59" s="57">
        <v>100000</v>
      </c>
      <c r="F59" s="44">
        <f t="shared" si="28"/>
        <v>100000</v>
      </c>
      <c r="G59" s="33" t="s">
        <v>116</v>
      </c>
      <c r="I59" s="10">
        <f t="shared" si="29"/>
        <v>35.115318706632578</v>
      </c>
      <c r="J59" s="10">
        <f t="shared" si="30"/>
        <v>35.115318706632578</v>
      </c>
      <c r="K59" s="125"/>
    </row>
    <row r="60" spans="1:15" ht="28.8" customHeight="1" x14ac:dyDescent="0.3">
      <c r="A60" s="124">
        <f t="shared" si="33"/>
        <v>34</v>
      </c>
      <c r="B60" s="54" t="s">
        <v>144</v>
      </c>
      <c r="C60" s="55" t="s">
        <v>10</v>
      </c>
      <c r="D60" s="223">
        <v>3</v>
      </c>
      <c r="E60" s="224">
        <v>10000</v>
      </c>
      <c r="F60" s="44">
        <f t="shared" ref="F60:F61" si="38">D60*E60</f>
        <v>30000</v>
      </c>
      <c r="G60" s="33" t="s">
        <v>145</v>
      </c>
      <c r="I60" s="10">
        <f t="shared" ref="I60:I61" si="39">F60/O$2</f>
        <v>10.534595611989774</v>
      </c>
      <c r="J60" s="10">
        <f t="shared" ref="J60:J61" si="40">F60/O$2</f>
        <v>10.534595611989774</v>
      </c>
      <c r="K60" s="125"/>
    </row>
    <row r="61" spans="1:15" ht="28.8" customHeight="1" x14ac:dyDescent="0.3">
      <c r="A61" s="124">
        <f t="shared" si="33"/>
        <v>35</v>
      </c>
      <c r="B61" s="54" t="s">
        <v>146</v>
      </c>
      <c r="C61" s="55" t="s">
        <v>10</v>
      </c>
      <c r="D61" s="56">
        <v>1</v>
      </c>
      <c r="E61" s="57">
        <v>50000</v>
      </c>
      <c r="F61" s="44">
        <f t="shared" si="38"/>
        <v>50000</v>
      </c>
      <c r="G61" s="33" t="s">
        <v>147</v>
      </c>
      <c r="I61" s="10">
        <f t="shared" si="39"/>
        <v>17.557659353316289</v>
      </c>
      <c r="J61" s="10">
        <f t="shared" si="40"/>
        <v>17.557659353316289</v>
      </c>
      <c r="K61" s="125"/>
    </row>
    <row r="62" spans="1:15" ht="28.8" customHeight="1" x14ac:dyDescent="0.3">
      <c r="A62" s="124">
        <f t="shared" si="33"/>
        <v>36</v>
      </c>
      <c r="B62" s="54" t="s">
        <v>148</v>
      </c>
      <c r="C62" s="55" t="s">
        <v>18</v>
      </c>
      <c r="D62" s="56">
        <v>1</v>
      </c>
      <c r="E62" s="57">
        <v>100000</v>
      </c>
      <c r="F62" s="44">
        <f>D62*E62</f>
        <v>100000</v>
      </c>
      <c r="G62" s="33" t="s">
        <v>149</v>
      </c>
      <c r="I62" s="10">
        <f>F62/O$2</f>
        <v>35.115318706632578</v>
      </c>
      <c r="J62" s="10">
        <f>F62/O$2</f>
        <v>35.115318706632578</v>
      </c>
    </row>
    <row r="63" spans="1:15" x14ac:dyDescent="0.3">
      <c r="A63" s="124">
        <f t="shared" si="33"/>
        <v>37</v>
      </c>
      <c r="B63" s="15" t="s">
        <v>25</v>
      </c>
      <c r="C63" s="12" t="s">
        <v>18</v>
      </c>
      <c r="D63" s="12">
        <v>2</v>
      </c>
      <c r="E63" s="14">
        <v>15000</v>
      </c>
      <c r="F63" s="13">
        <f t="shared" ref="F63" si="41">D63*E63</f>
        <v>30000</v>
      </c>
      <c r="G63" s="30" t="s">
        <v>151</v>
      </c>
      <c r="I63" s="10">
        <f>F63/O$2</f>
        <v>10.534595611989774</v>
      </c>
      <c r="J63" s="10">
        <f>F63/O$2</f>
        <v>10.534595611989774</v>
      </c>
    </row>
    <row r="64" spans="1:15" ht="15" thickBot="1" x14ac:dyDescent="0.35">
      <c r="A64" s="233"/>
      <c r="B64" s="234"/>
      <c r="C64" s="96"/>
      <c r="D64" s="96"/>
      <c r="E64" s="97" t="s">
        <v>12</v>
      </c>
      <c r="F64" s="98">
        <f>SUM(F54:F63)</f>
        <v>540000</v>
      </c>
      <c r="G64" s="100"/>
      <c r="I64" s="21">
        <f>SUM(I54:I63)</f>
        <v>189.62272101581593</v>
      </c>
      <c r="J64" s="21">
        <f>SUM(J54:J63)</f>
        <v>189.62272101581593</v>
      </c>
      <c r="L64" s="153"/>
      <c r="M64" s="153"/>
      <c r="N64" s="153"/>
      <c r="O64" s="9"/>
    </row>
    <row r="65" spans="1:15" x14ac:dyDescent="0.3">
      <c r="A65" s="235"/>
      <c r="B65" s="235"/>
      <c r="C65" s="2"/>
      <c r="D65" s="2"/>
      <c r="E65" s="1"/>
      <c r="F65" s="3"/>
      <c r="G65" s="16"/>
      <c r="I65" s="61">
        <f>I50+I64</f>
        <v>2288.5998266740116</v>
      </c>
      <c r="J65" s="61">
        <f>J50+J64</f>
        <v>1488.7901856202145</v>
      </c>
      <c r="L65" s="153"/>
      <c r="M65" s="153"/>
      <c r="N65" s="154"/>
      <c r="O65" s="153"/>
    </row>
    <row r="66" spans="1:15" ht="18" x14ac:dyDescent="0.3">
      <c r="A66" s="235"/>
      <c r="B66" s="235"/>
      <c r="C66" s="2"/>
      <c r="D66" s="58"/>
      <c r="E66" s="59" t="s">
        <v>34</v>
      </c>
      <c r="F66" s="60">
        <f>F50+F64</f>
        <v>5362242.5</v>
      </c>
      <c r="G66" s="16"/>
      <c r="H66" s="9"/>
    </row>
    <row r="67" spans="1:15" x14ac:dyDescent="0.3">
      <c r="A67" s="235"/>
      <c r="B67" s="235"/>
      <c r="C67" s="2"/>
      <c r="D67" s="2"/>
      <c r="E67" s="1"/>
      <c r="G67" s="16"/>
      <c r="I67" s="9"/>
      <c r="J67" s="9"/>
    </row>
    <row r="68" spans="1:15" ht="18.600000000000001" thickBot="1" x14ac:dyDescent="0.4">
      <c r="A68" s="86" t="s">
        <v>56</v>
      </c>
      <c r="I68" s="22" t="s">
        <v>48</v>
      </c>
      <c r="J68" s="83" t="s">
        <v>49</v>
      </c>
    </row>
    <row r="69" spans="1:15" ht="121.8" customHeight="1" thickTop="1" thickBot="1" x14ac:dyDescent="0.35">
      <c r="A69" s="45">
        <v>12</v>
      </c>
      <c r="B69" s="53" t="s">
        <v>50</v>
      </c>
      <c r="C69" s="46" t="s">
        <v>10</v>
      </c>
      <c r="D69" s="46">
        <v>1</v>
      </c>
      <c r="E69" s="62" t="s">
        <v>35</v>
      </c>
      <c r="F69" s="47">
        <f>(206000+1100*12)*1.1</f>
        <v>241120.00000000003</v>
      </c>
      <c r="G69" s="48" t="s">
        <v>154</v>
      </c>
      <c r="I69" s="226">
        <v>58</v>
      </c>
      <c r="J69" s="88">
        <f>F69/I69/12</f>
        <v>346.43678160919541</v>
      </c>
      <c r="N69" s="154"/>
    </row>
    <row r="70" spans="1:15" ht="29.4" customHeight="1" thickTop="1" x14ac:dyDescent="0.3">
      <c r="A70" s="236" t="s">
        <v>168</v>
      </c>
      <c r="B70" s="236"/>
      <c r="C70" s="236"/>
      <c r="D70" s="236"/>
      <c r="E70" s="236"/>
      <c r="F70" s="236"/>
      <c r="G70" s="236"/>
      <c r="N70" s="154"/>
    </row>
    <row r="71" spans="1:15" x14ac:dyDescent="0.3">
      <c r="I71" s="22" t="s">
        <v>48</v>
      </c>
      <c r="J71" t="s">
        <v>51</v>
      </c>
      <c r="N71" s="154"/>
    </row>
    <row r="72" spans="1:15" ht="45" customHeight="1" x14ac:dyDescent="0.3">
      <c r="A72" s="84">
        <f>A43</f>
        <v>22</v>
      </c>
      <c r="B72" s="15" t="s">
        <v>73</v>
      </c>
      <c r="C72" s="11" t="s">
        <v>9</v>
      </c>
      <c r="D72" s="11">
        <v>5</v>
      </c>
      <c r="E72" s="14">
        <v>6000</v>
      </c>
      <c r="F72" s="13">
        <f>D72*E72</f>
        <v>30000</v>
      </c>
      <c r="G72" s="77" t="s">
        <v>122</v>
      </c>
      <c r="I72" s="10">
        <v>6</v>
      </c>
      <c r="J72" s="88">
        <f>F72/I72/12</f>
        <v>416.66666666666669</v>
      </c>
      <c r="K72" s="130"/>
      <c r="N72" s="154"/>
    </row>
    <row r="73" spans="1:15" x14ac:dyDescent="0.3">
      <c r="A73" s="85" t="s">
        <v>112</v>
      </c>
      <c r="N73" s="153"/>
      <c r="O73" s="9"/>
    </row>
    <row r="74" spans="1:15" x14ac:dyDescent="0.3">
      <c r="G74" s="87"/>
    </row>
    <row r="75" spans="1:15" ht="36" customHeight="1" x14ac:dyDescent="0.3">
      <c r="A75" s="203"/>
      <c r="B75" s="214" t="s">
        <v>175</v>
      </c>
      <c r="C75" s="203"/>
      <c r="D75" s="203"/>
      <c r="E75" s="203"/>
      <c r="F75" s="203"/>
      <c r="G75" s="203"/>
      <c r="H75" s="203"/>
      <c r="I75" s="210" t="s">
        <v>152</v>
      </c>
      <c r="J75" s="210" t="s">
        <v>153</v>
      </c>
    </row>
    <row r="76" spans="1:15" ht="108" customHeight="1" x14ac:dyDescent="0.3">
      <c r="A76" s="211">
        <v>39</v>
      </c>
      <c r="B76" s="204" t="s">
        <v>79</v>
      </c>
      <c r="C76" s="205" t="s">
        <v>10</v>
      </c>
      <c r="D76" s="205">
        <v>1</v>
      </c>
      <c r="E76" s="206">
        <f>2020*7239</f>
        <v>14622780</v>
      </c>
      <c r="F76" s="212">
        <f>E76</f>
        <v>14622780</v>
      </c>
      <c r="G76" s="213" t="s">
        <v>120</v>
      </c>
      <c r="H76" s="203"/>
      <c r="I76" s="207">
        <v>158</v>
      </c>
      <c r="J76" s="209">
        <f>F76/I76</f>
        <v>92549.240506329108</v>
      </c>
      <c r="K76" s="126"/>
    </row>
  </sheetData>
  <mergeCells count="24">
    <mergeCell ref="A1:G1"/>
    <mergeCell ref="A5:F5"/>
    <mergeCell ref="A10:G10"/>
    <mergeCell ref="I8:I9"/>
    <mergeCell ref="A67:B67"/>
    <mergeCell ref="A15:B15"/>
    <mergeCell ref="A50:B50"/>
    <mergeCell ref="A51:B51"/>
    <mergeCell ref="A2:G2"/>
    <mergeCell ref="G16:G18"/>
    <mergeCell ref="F16:F18"/>
    <mergeCell ref="E16:E18"/>
    <mergeCell ref="D16:D18"/>
    <mergeCell ref="C16:C18"/>
    <mergeCell ref="B16:B18"/>
    <mergeCell ref="P8:R9"/>
    <mergeCell ref="A52:B52"/>
    <mergeCell ref="A64:B64"/>
    <mergeCell ref="A65:B65"/>
    <mergeCell ref="A70:G70"/>
    <mergeCell ref="A66:B66"/>
    <mergeCell ref="I16:I18"/>
    <mergeCell ref="J16:J18"/>
    <mergeCell ref="A16:A18"/>
  </mergeCells>
  <phoneticPr fontId="22" type="noConversion"/>
  <pageMargins left="0.25" right="0.25" top="0.75" bottom="0.75" header="0.3" footer="0.3"/>
  <pageSetup paperSize="9" orientation="portrait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E0DA7-7AB2-492D-8F37-4E21B42FF577}">
  <dimension ref="A1:J13"/>
  <sheetViews>
    <sheetView zoomScale="60" zoomScaleNormal="60" workbookViewId="0">
      <selection activeCell="V12" sqref="V12"/>
    </sheetView>
  </sheetViews>
  <sheetFormatPr defaultRowHeight="14.4" x14ac:dyDescent="0.3"/>
  <cols>
    <col min="1" max="1" width="8.88671875" style="106"/>
    <col min="2" max="2" width="48.88671875" style="106" customWidth="1"/>
    <col min="3" max="3" width="16.109375" style="106" customWidth="1"/>
    <col min="4" max="4" width="18.44140625" style="106" customWidth="1"/>
    <col min="5" max="5" width="18.6640625" style="106" bestFit="1" customWidth="1"/>
    <col min="6" max="6" width="18.88671875" style="106" customWidth="1"/>
    <col min="7" max="7" width="19" style="106" bestFit="1" customWidth="1"/>
    <col min="8" max="8" width="8.88671875" style="106"/>
    <col min="9" max="9" width="14.5546875" style="106" bestFit="1" customWidth="1"/>
    <col min="10" max="16384" width="8.88671875" style="106"/>
  </cols>
  <sheetData>
    <row r="1" spans="1:10" ht="15.6" x14ac:dyDescent="0.3">
      <c r="A1" s="103"/>
      <c r="B1" s="104"/>
      <c r="C1" s="104"/>
      <c r="D1" s="105"/>
      <c r="E1" s="105"/>
      <c r="F1" s="105"/>
    </row>
    <row r="2" spans="1:10" ht="23.4" x14ac:dyDescent="0.3">
      <c r="A2" s="107"/>
      <c r="B2" s="263" t="s">
        <v>84</v>
      </c>
      <c r="C2" s="264"/>
      <c r="D2" s="264"/>
      <c r="E2" s="264"/>
      <c r="F2" s="264"/>
      <c r="G2" s="265"/>
    </row>
    <row r="3" spans="1:10" ht="23.4" x14ac:dyDescent="0.3">
      <c r="A3" s="107"/>
      <c r="B3" s="263" t="s">
        <v>85</v>
      </c>
      <c r="C3" s="264"/>
      <c r="D3" s="264"/>
      <c r="E3" s="264"/>
      <c r="F3" s="264"/>
      <c r="G3" s="265"/>
    </row>
    <row r="4" spans="1:10" ht="24" thickBot="1" x14ac:dyDescent="0.35">
      <c r="A4" s="266" t="s">
        <v>86</v>
      </c>
      <c r="B4" s="266"/>
      <c r="C4" s="266"/>
      <c r="D4" s="266"/>
      <c r="E4" s="266"/>
      <c r="F4" s="266"/>
      <c r="G4" s="266"/>
    </row>
    <row r="5" spans="1:10" ht="23.4" x14ac:dyDescent="0.3">
      <c r="A5" s="267" t="s">
        <v>1</v>
      </c>
      <c r="B5" s="269" t="s">
        <v>87</v>
      </c>
      <c r="C5" s="269" t="s">
        <v>88</v>
      </c>
      <c r="D5" s="269" t="s">
        <v>89</v>
      </c>
      <c r="E5" s="269" t="s">
        <v>90</v>
      </c>
      <c r="F5" s="271" t="s">
        <v>91</v>
      </c>
      <c r="G5" s="272"/>
    </row>
    <row r="6" spans="1:10" ht="51.75" customHeight="1" x14ac:dyDescent="0.3">
      <c r="A6" s="268"/>
      <c r="B6" s="270"/>
      <c r="C6" s="270"/>
      <c r="D6" s="270"/>
      <c r="E6" s="270"/>
      <c r="F6" s="108" t="s">
        <v>92</v>
      </c>
      <c r="G6" s="108" t="s">
        <v>93</v>
      </c>
    </row>
    <row r="7" spans="1:10" ht="55.5" customHeight="1" x14ac:dyDescent="0.3">
      <c r="A7" s="109" t="s">
        <v>94</v>
      </c>
      <c r="B7" s="110" t="s">
        <v>95</v>
      </c>
      <c r="C7" s="111"/>
      <c r="D7" s="112" t="s">
        <v>96</v>
      </c>
      <c r="E7" s="113">
        <v>1</v>
      </c>
      <c r="F7" s="114">
        <v>800</v>
      </c>
      <c r="G7" s="114">
        <f t="shared" ref="G7:G12" si="0">F7*E7</f>
        <v>800</v>
      </c>
    </row>
    <row r="8" spans="1:10" ht="51.75" customHeight="1" x14ac:dyDescent="0.3">
      <c r="A8" s="109" t="s">
        <v>97</v>
      </c>
      <c r="B8" s="110" t="s">
        <v>98</v>
      </c>
      <c r="C8" s="111"/>
      <c r="D8" s="112" t="s">
        <v>96</v>
      </c>
      <c r="E8" s="113">
        <v>1</v>
      </c>
      <c r="F8" s="114">
        <v>790</v>
      </c>
      <c r="G8" s="114">
        <f t="shared" si="0"/>
        <v>790</v>
      </c>
    </row>
    <row r="9" spans="1:10" ht="49.5" customHeight="1" x14ac:dyDescent="0.3">
      <c r="A9" s="109" t="s">
        <v>99</v>
      </c>
      <c r="B9" s="110" t="s">
        <v>100</v>
      </c>
      <c r="C9" s="115"/>
      <c r="D9" s="112" t="s">
        <v>101</v>
      </c>
      <c r="E9" s="113">
        <v>1</v>
      </c>
      <c r="F9" s="114">
        <v>445</v>
      </c>
      <c r="G9" s="114">
        <f t="shared" si="0"/>
        <v>445</v>
      </c>
    </row>
    <row r="10" spans="1:10" ht="59.25" customHeight="1" x14ac:dyDescent="0.3">
      <c r="A10" s="109" t="s">
        <v>102</v>
      </c>
      <c r="B10" s="110" t="s">
        <v>103</v>
      </c>
      <c r="C10" s="115"/>
      <c r="D10" s="112" t="s">
        <v>96</v>
      </c>
      <c r="E10" s="113">
        <v>1</v>
      </c>
      <c r="F10" s="114">
        <v>900</v>
      </c>
      <c r="G10" s="114">
        <f t="shared" si="0"/>
        <v>900</v>
      </c>
    </row>
    <row r="11" spans="1:10" ht="55.5" customHeight="1" x14ac:dyDescent="0.3">
      <c r="A11" s="109" t="s">
        <v>104</v>
      </c>
      <c r="B11" s="110" t="s">
        <v>105</v>
      </c>
      <c r="C11" s="115"/>
      <c r="D11" s="112" t="s">
        <v>96</v>
      </c>
      <c r="E11" s="113">
        <v>1</v>
      </c>
      <c r="F11" s="114">
        <v>650</v>
      </c>
      <c r="G11" s="114">
        <f t="shared" si="0"/>
        <v>650</v>
      </c>
    </row>
    <row r="12" spans="1:10" ht="45.75" customHeight="1" x14ac:dyDescent="0.3">
      <c r="A12" s="109" t="s">
        <v>106</v>
      </c>
      <c r="B12" s="110" t="s">
        <v>107</v>
      </c>
      <c r="C12" s="115"/>
      <c r="D12" s="112" t="s">
        <v>96</v>
      </c>
      <c r="E12" s="113">
        <v>1</v>
      </c>
      <c r="F12" s="114">
        <v>25</v>
      </c>
      <c r="G12" s="114">
        <f t="shared" si="0"/>
        <v>25</v>
      </c>
    </row>
    <row r="13" spans="1:10" ht="23.4" x14ac:dyDescent="0.45">
      <c r="A13" s="116"/>
      <c r="B13" s="260" t="s">
        <v>40</v>
      </c>
      <c r="C13" s="261"/>
      <c r="D13" s="261"/>
      <c r="E13" s="261"/>
      <c r="F13" s="262"/>
      <c r="G13" s="117"/>
      <c r="I13" s="118">
        <v>2020</v>
      </c>
      <c r="J13" s="119" t="s">
        <v>111</v>
      </c>
    </row>
  </sheetData>
  <mergeCells count="10">
    <mergeCell ref="B13:F13"/>
    <mergeCell ref="B2:G2"/>
    <mergeCell ref="B3:G3"/>
    <mergeCell ref="A4:G4"/>
    <mergeCell ref="A5:A6"/>
    <mergeCell ref="B5:B6"/>
    <mergeCell ref="C5:C6"/>
    <mergeCell ref="D5:D6"/>
    <mergeCell ref="E5:E6"/>
    <mergeCell ref="F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64AA1-FE11-4485-8CBE-F79F4D02E2CA}">
  <dimension ref="A1:D3"/>
  <sheetViews>
    <sheetView workbookViewId="0">
      <selection activeCell="J14" sqref="J14"/>
    </sheetView>
  </sheetViews>
  <sheetFormatPr defaultRowHeight="14.4" x14ac:dyDescent="0.3"/>
  <sheetData>
    <row r="1" spans="1:4" x14ac:dyDescent="0.3">
      <c r="B1" t="s">
        <v>15</v>
      </c>
      <c r="C1" t="s">
        <v>16</v>
      </c>
      <c r="D1" t="s">
        <v>17</v>
      </c>
    </row>
    <row r="2" spans="1:4" x14ac:dyDescent="0.3">
      <c r="A2" t="s">
        <v>42</v>
      </c>
      <c r="B2">
        <v>1064.51</v>
      </c>
      <c r="C2">
        <v>1783.25</v>
      </c>
      <c r="D2">
        <v>2847.76</v>
      </c>
    </row>
    <row r="3" spans="1:4" x14ac:dyDescent="0.3">
      <c r="A3" t="s">
        <v>41</v>
      </c>
      <c r="B3">
        <v>83</v>
      </c>
      <c r="C3">
        <v>158</v>
      </c>
      <c r="D3">
        <v>241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Смета 2024-2025</vt:lpstr>
      <vt:lpstr>ФЭО к смете 2025-2026_v2</vt:lpstr>
      <vt:lpstr>КП ремонт дорог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Магдий Ольга</dc:creator>
  <cp:lastModifiedBy>Пользователь Windows</cp:lastModifiedBy>
  <cp:lastPrinted>2024-08-25T07:48:38Z</cp:lastPrinted>
  <dcterms:created xsi:type="dcterms:W3CDTF">2024-06-22T06:53:33Z</dcterms:created>
  <dcterms:modified xsi:type="dcterms:W3CDTF">2025-06-24T18:04:06Z</dcterms:modified>
</cp:coreProperties>
</file>