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Раздолье\ПРОТОКОЛЫ\Собрание 17.05.26_Протокол 12\в чат\"/>
    </mc:Choice>
  </mc:AlternateContent>
  <xr:revisionPtr revIDLastSave="0" documentId="8_{E8B21662-D017-49B9-A6A1-06013DA8E7B3}" xr6:coauthVersionLast="47" xr6:coauthVersionMax="47" xr10:uidLastSave="{00000000-0000-0000-0000-000000000000}"/>
  <bookViews>
    <workbookView xWindow="-108" yWindow="-108" windowWidth="23256" windowHeight="12576" xr2:uid="{D5317A65-4D55-481A-A022-AF217ED13C60}"/>
  </bookViews>
  <sheets>
    <sheet name="ФЭО к смете 2026-202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8" i="1" l="1"/>
  <c r="F75" i="1"/>
  <c r="J75" i="1" s="1"/>
  <c r="O8" i="1" s="1"/>
  <c r="F69" i="1"/>
  <c r="F68" i="1"/>
  <c r="F67" i="1"/>
  <c r="F66" i="1"/>
  <c r="F65" i="1"/>
  <c r="E64" i="1"/>
  <c r="F64" i="1" s="1"/>
  <c r="F63" i="1"/>
  <c r="F62" i="1"/>
  <c r="F61" i="1"/>
  <c r="F60" i="1"/>
  <c r="F59" i="1"/>
  <c r="F58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F57" i="1"/>
  <c r="F50" i="1"/>
  <c r="F49" i="1"/>
  <c r="E48" i="1"/>
  <c r="F48" i="1" s="1"/>
  <c r="J48" i="1" s="1"/>
  <c r="E47" i="1"/>
  <c r="F47" i="1" s="1"/>
  <c r="I47" i="1" s="1"/>
  <c r="G46" i="1"/>
  <c r="F46" i="1"/>
  <c r="E45" i="1"/>
  <c r="F45" i="1" s="1"/>
  <c r="J45" i="1" s="1"/>
  <c r="E44" i="1"/>
  <c r="F44" i="1" s="1"/>
  <c r="I44" i="1" s="1"/>
  <c r="E43" i="1"/>
  <c r="F43" i="1" s="1"/>
  <c r="J43" i="1" s="1"/>
  <c r="E42" i="1"/>
  <c r="F42" i="1" s="1"/>
  <c r="I42" i="1" s="1"/>
  <c r="F41" i="1"/>
  <c r="F40" i="1"/>
  <c r="E39" i="1"/>
  <c r="F39" i="1" s="1"/>
  <c r="A39" i="1"/>
  <c r="A40" i="1" s="1"/>
  <c r="A41" i="1" s="1"/>
  <c r="A42" i="1" s="1"/>
  <c r="A43" i="1" s="1"/>
  <c r="A44" i="1" s="1"/>
  <c r="A45" i="1" s="1"/>
  <c r="F38" i="1"/>
  <c r="B38" i="1"/>
  <c r="F37" i="1"/>
  <c r="I37" i="1" s="1"/>
  <c r="F36" i="1"/>
  <c r="I36" i="1" s="1"/>
  <c r="F35" i="1"/>
  <c r="F34" i="1"/>
  <c r="I34" i="1" s="1"/>
  <c r="E33" i="1"/>
  <c r="F33" i="1" s="1"/>
  <c r="I33" i="1" s="1"/>
  <c r="F32" i="1"/>
  <c r="E31" i="1"/>
  <c r="F31" i="1" s="1"/>
  <c r="F30" i="1"/>
  <c r="E29" i="1"/>
  <c r="F29" i="1" s="1"/>
  <c r="F28" i="1"/>
  <c r="F27" i="1"/>
  <c r="F26" i="1"/>
  <c r="F25" i="1"/>
  <c r="F24" i="1"/>
  <c r="F23" i="1"/>
  <c r="A22" i="1"/>
  <c r="A23" i="1" s="1"/>
  <c r="F21" i="1"/>
  <c r="AA14" i="1"/>
  <c r="AA18" i="1" s="1"/>
  <c r="X14" i="1"/>
  <c r="X18" i="1" s="1"/>
  <c r="W14" i="1"/>
  <c r="V14" i="1"/>
  <c r="U14" i="1"/>
  <c r="R14" i="1"/>
  <c r="O14" i="1"/>
  <c r="AA13" i="1"/>
  <c r="AA17" i="1" s="1"/>
  <c r="X13" i="1"/>
  <c r="X17" i="1" s="1"/>
  <c r="W13" i="1"/>
  <c r="V13" i="1"/>
  <c r="U13" i="1"/>
  <c r="R13" i="1"/>
  <c r="O13" i="1"/>
  <c r="O9" i="1"/>
  <c r="V7" i="1"/>
  <c r="V6" i="1"/>
  <c r="O3" i="1"/>
  <c r="O2" i="1"/>
  <c r="J69" i="1" l="1"/>
  <c r="I69" i="1"/>
  <c r="J68" i="1"/>
  <c r="I68" i="1"/>
  <c r="J67" i="1"/>
  <c r="I67" i="1"/>
  <c r="J66" i="1"/>
  <c r="I66" i="1"/>
  <c r="J65" i="1"/>
  <c r="I65" i="1"/>
  <c r="I64" i="1"/>
  <c r="J64" i="1"/>
  <c r="J63" i="1"/>
  <c r="I63" i="1"/>
  <c r="I62" i="1"/>
  <c r="J62" i="1"/>
  <c r="I61" i="1"/>
  <c r="J61" i="1"/>
  <c r="J60" i="1"/>
  <c r="I60" i="1"/>
  <c r="J59" i="1"/>
  <c r="I59" i="1"/>
  <c r="J58" i="1"/>
  <c r="I58" i="1"/>
  <c r="F70" i="1"/>
  <c r="J57" i="1"/>
  <c r="I57" i="1"/>
  <c r="J50" i="1"/>
  <c r="I50" i="1"/>
  <c r="J49" i="1"/>
  <c r="I49" i="1"/>
  <c r="J41" i="1"/>
  <c r="I41" i="1"/>
  <c r="J40" i="1"/>
  <c r="I40" i="1"/>
  <c r="I39" i="1"/>
  <c r="J39" i="1"/>
  <c r="A46" i="1"/>
  <c r="A47" i="1" s="1"/>
  <c r="A48" i="1" s="1"/>
  <c r="A49" i="1" s="1"/>
  <c r="A50" i="1" s="1"/>
  <c r="A52" i="1" s="1"/>
  <c r="A78" i="1"/>
  <c r="J35" i="1"/>
  <c r="I35" i="1"/>
  <c r="J32" i="1"/>
  <c r="I32" i="1"/>
  <c r="I31" i="1"/>
  <c r="J31" i="1"/>
  <c r="J30" i="1"/>
  <c r="I30" i="1"/>
  <c r="I29" i="1"/>
  <c r="J29" i="1"/>
  <c r="J28" i="1"/>
  <c r="I28" i="1"/>
  <c r="J27" i="1"/>
  <c r="I27" i="1"/>
  <c r="J26" i="1"/>
  <c r="I26" i="1"/>
  <c r="J25" i="1"/>
  <c r="I25" i="1"/>
  <c r="J24" i="1"/>
  <c r="I24" i="1"/>
  <c r="J23" i="1"/>
  <c r="I23" i="1"/>
  <c r="A24" i="1"/>
  <c r="A25" i="1" s="1"/>
  <c r="A27" i="1" s="1"/>
  <c r="A28" i="1" s="1"/>
  <c r="A29" i="1" s="1"/>
  <c r="A30" i="1" s="1"/>
  <c r="A31" i="1" s="1"/>
  <c r="A32" i="1" s="1"/>
  <c r="A33" i="1" s="1"/>
  <c r="A26" i="1"/>
  <c r="F22" i="1"/>
  <c r="F51" i="1" s="1"/>
  <c r="J21" i="1"/>
  <c r="I21" i="1"/>
  <c r="F52" i="1" l="1"/>
  <c r="F53" i="1"/>
  <c r="F72" i="1" s="1"/>
  <c r="I22" i="1"/>
  <c r="I51" i="1" s="1"/>
  <c r="J22" i="1"/>
  <c r="J51" i="1" s="1"/>
  <c r="J70" i="1"/>
  <c r="N7" i="1" s="1"/>
  <c r="I70" i="1"/>
  <c r="N6" i="1" s="1"/>
  <c r="I52" i="1" l="1"/>
  <c r="I53" i="1" s="1"/>
  <c r="J52" i="1"/>
  <c r="J53" i="1" s="1"/>
  <c r="M6" i="1" l="1"/>
  <c r="O6" i="1" s="1"/>
  <c r="S6" i="1" s="1"/>
  <c r="I71" i="1"/>
  <c r="M7" i="1"/>
  <c r="O7" i="1" s="1"/>
  <c r="S7" i="1" s="1"/>
  <c r="J71" i="1"/>
</calcChain>
</file>

<file path=xl/sharedStrings.xml><?xml version="1.0" encoding="utf-8"?>
<sst xmlns="http://schemas.openxmlformats.org/spreadsheetml/2006/main" count="229" uniqueCount="159">
  <si>
    <t>Настоящее финансово-экономическое обоснование является неотъемлемой частью приходно-расходной сметы ТСН "Раздолье" на 2026-2027 год, подготовлено в соответствии с:</t>
  </si>
  <si>
    <t>1 оч</t>
  </si>
  <si>
    <t>2 оч</t>
  </si>
  <si>
    <t>Итого:</t>
  </si>
  <si>
    <t> • Федеральным законом от 29.07.2017 № 217-ФЗ "О ведении гражданами садоводства и огородничества для собственных нужд и о внесении изменений в отдельные законодательные акты РФ"; </t>
  </si>
  <si>
    <t>Соток:</t>
  </si>
  <si>
    <t>• Анализом хозяйственной деятельности ТСН "Раздолье" за 2025-2026 год;</t>
  </si>
  <si>
    <t>Участков:</t>
  </si>
  <si>
    <t> • Конъюнктурного анализа цен на товары и услуги по итогам расходов за 2025-2026 год. </t>
  </si>
  <si>
    <t>ВЗНОСЫ:</t>
  </si>
  <si>
    <t>2026-2027 (руб., сотка/год)</t>
  </si>
  <si>
    <t>!! 6 лет без повышения взносов</t>
  </si>
  <si>
    <t xml:space="preserve">А также с учетом следующего: </t>
  </si>
  <si>
    <t>членский</t>
  </si>
  <si>
    <t>целевой</t>
  </si>
  <si>
    <t>Итого*:</t>
  </si>
  <si>
    <t>рост к прошлому году, %</t>
  </si>
  <si>
    <t>рост по инфляции не учтенный с 2020 (6 лет по 10%)</t>
  </si>
  <si>
    <t xml:space="preserve">Большая часть собственников 2-й очереди не вышли на связь с Правлением, не предоставили документы о праве собственности и контактные данные, участки не освоены, являются неплательщиками </t>
  </si>
  <si>
    <t>1-я очередь</t>
  </si>
  <si>
    <t>взносов с момента появления права собственности на земельные участки, нет возможности узнать их потребности.</t>
  </si>
  <si>
    <t>2-я очередь</t>
  </si>
  <si>
    <t>Повышение взносов на порядка 50% вызвано ростом потребительских цен, увеличением ставки НДС, отсутствием индексации взносов на протяжении 6 лет с 2020г.</t>
  </si>
  <si>
    <t>Дополнительно</t>
  </si>
  <si>
    <t>мусор с уч, руб/мес</t>
  </si>
  <si>
    <t>список участков см.ниже под табличной частью ФЭО</t>
  </si>
  <si>
    <t>снег до уч 2-я оч, руб/мес</t>
  </si>
  <si>
    <t>СПРАВОЧНО:</t>
  </si>
  <si>
    <t>2020-2022 (руб., сотка/год)</t>
  </si>
  <si>
    <t>2022-2023 (руб., сотка/год)</t>
  </si>
  <si>
    <t>2023-2024 (руб., сотка/год)</t>
  </si>
  <si>
    <t>2024-2025 (руб., сотка/год)</t>
  </si>
  <si>
    <t>2025-2026 (руб., сотка/год)</t>
  </si>
  <si>
    <t>Для рассмотрения и утверждения Решением внеочередного общего собрания от 17.05.2026</t>
  </si>
  <si>
    <t>Финансово-экономическое обоснование расходной части сметы ТСН "Раздолье" на 2026-2027 (с 01.05.26-30.04.27)</t>
  </si>
  <si>
    <t>Членские взносы:</t>
  </si>
  <si>
    <t>№</t>
  </si>
  <si>
    <t>Статьи расходов</t>
  </si>
  <si>
    <t>Ед.изм.</t>
  </si>
  <si>
    <t>Кол-во</t>
  </si>
  <si>
    <t>Стоимость за ед/тариф, руб. (средн расчетн)</t>
  </si>
  <si>
    <t>Сумма, руб.
2026-2027</t>
  </si>
  <si>
    <t>Комментарий в обоснование планируемого размера расхода</t>
  </si>
  <si>
    <t>Стоимость одной сотки в год</t>
  </si>
  <si>
    <t>Оклад Председателя ТСН, включая НДФЛ 13%</t>
  </si>
  <si>
    <t>месяц</t>
  </si>
  <si>
    <t>25,000/мес на руки, т.е. оклад 28,750 вкл. НДФЛ 13%
28,750*1,15*12 мес
Оклад определен исходя из фактических трудозатрат, по нижней границе сложившейся в других ТСН практики и исходя из текущего количества освоенных участков ТСН (ок.100 уч)</t>
  </si>
  <si>
    <t>Налоги ФОТ</t>
  </si>
  <si>
    <t>В соответствии с законодательством РФ 30,2% ФОТ</t>
  </si>
  <si>
    <t>Услуги консьержа</t>
  </si>
  <si>
    <t>Договорная стоимость определена исходя из трудозатрат и сложившейся в других ТСН практики</t>
  </si>
  <si>
    <t>Работы по поселку</t>
  </si>
  <si>
    <t xml:space="preserve">работы по поселку (Текущий ремонт и организация работ по обслуживанию объектов ТСН; Прочистка ливневок - оперативный ремонт; Покос и обслуживание въездной зоны, детской площадки и др.зон; организация оперативных работ по ТСН и поручений правления). </t>
  </si>
  <si>
    <t>ПП 1С.Садовод</t>
  </si>
  <si>
    <t>год</t>
  </si>
  <si>
    <t>подписка ПП 1С.Садовод Фреш + сдача отчетности (приобретение доступа к облачному ресурсу). Стоимость в год</t>
  </si>
  <si>
    <t>Бухгалтерское обслуживание</t>
  </si>
  <si>
    <r>
      <t xml:space="preserve">Функционал аутсорсинговой компании сильно ограничен, ранее включенные стоимости услуг в сметы прошлых лет (2024-2026) не покрывали полного объема услуг по ведению бухучета. Правление в целях экономии самостоятельно выполняло порядка 50% объема бухгалтерских услуг, включяая подготовку платежных поручений, работу в Сбербизнес-он лайн, учет актов оказанных услуг, авансовых отчетов, сдачу статистической отчетности и т.д. 
Было заложено в смету 2024-2025 по 15,000/мес.
Планируется отказ от дальнейшей работы с ИП Акимова, и переход на взаимодействие с бухгалтером. Цена услуг бухгалтера по ведению учета 30,000 
</t>
    </r>
    <r>
      <rPr>
        <i/>
        <sz val="11"/>
        <color rgb="FFFF0000"/>
        <rFont val="Calibri"/>
        <family val="2"/>
        <charset val="204"/>
      </rPr>
      <t>В случае перерасхода/экономии по статьям затрат бюджет сметы может быть перераспределен с детальным подтверждением перераспределения</t>
    </r>
  </si>
  <si>
    <t>Обслуживание домена</t>
  </si>
  <si>
    <t>Согласно расценок оператора (включяет ежемесячные платежи + годовой)</t>
  </si>
  <si>
    <t>Обслуживание р/с (банк), ЭЦП</t>
  </si>
  <si>
    <t>мес</t>
  </si>
  <si>
    <t>Увеличено с 4500/мес в связи с ростом тарифов и ожидаемым ростом количества банковских операций</t>
  </si>
  <si>
    <t>Нотариальные услуги/регистрационные услуги</t>
  </si>
  <si>
    <t>Оплата услуг и госпошлин для получения данных собственников (порядка 200 участков, т.к. скрытые собственники перепродают участки, новые собственники которых, также не выходят на связь (цель: поддержание рееста собственников в актуальном состоянии в т.ч.для судов против должников): 153 уч на 2-й очереди, минус ок. 16 постоянных собственников, плюс 3 сомнительных на первой очереди = 140 уч. Минус массовые 40 уч. Расчет исходя: 700*100 уч.=70,000. 
Указанная сумма может быть использована при необходимости в целях ст. 8,9,10,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</si>
  <si>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Услуги Почты России</t>
  </si>
  <si>
    <t>шт.</t>
  </si>
  <si>
    <t>Оплата услуг Почты России в связи с предстоящими судами против должников. Количество участков установлено с учетом текущих собственников неплательщиков, а также предыдущих собственников неплательщиков. Указанная сумма может быть использована при необходимости в целях ст. 8,9,10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</si>
  <si>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Адвокат (судебные дела + суды с должниками)</t>
  </si>
  <si>
    <t>шт</t>
  </si>
  <si>
    <t>расчет оплаты за работу с одним должником: оплата производится поэтапно (этапы 1-4), в случае если какой то из этапов не наступает или пропускается, то такой этап оплате не подлежит. Оплата каждого договоренного этапа может производится как единоразово, так и с ежемесячной рассрочкой на срок не более 1 года. 
1 Этап. Досудебная работа 
2-3 Этап. Судебное производство
4 Этап. Исковое производство 
Указанная сумма может быть использована при необходимости в целях ст. 8, 9,10,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</si>
  <si>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Хоз. нужды, инвентарь</t>
  </si>
  <si>
    <t xml:space="preserve">В соответствии с фактическим расходом предыдущего периода (забор, шлагбаум-ворота, офис, площадка для мусора, гостевая парковка, детская площадка, озеро, пляж, мостки, хоз. нужды - триммер, инструмент, эл. автоматы, лампочки, бензин, леска для триммера, газ балоны). </t>
  </si>
  <si>
    <t>Замена ламп освещения</t>
  </si>
  <si>
    <r>
      <t xml:space="preserve">фонари 1-я очередь - в целях экономии </t>
    </r>
    <r>
      <rPr>
        <b/>
        <i/>
        <sz val="11"/>
        <rFont val="Calibri"/>
        <family val="2"/>
        <charset val="204"/>
      </rPr>
      <t xml:space="preserve">подрядчик вызывает при перегорании не менее 4-х ламп, </t>
    </r>
    <r>
      <rPr>
        <i/>
        <sz val="11"/>
        <rFont val="Calibri"/>
        <family val="2"/>
        <charset val="204"/>
      </rPr>
      <t xml:space="preserve">что даст плановую стоимость 1 фонарь 15,000. Закладывается замена 20 ламп. 
</t>
    </r>
    <r>
      <rPr>
        <b/>
        <i/>
        <sz val="11"/>
        <rFont val="Calibri"/>
        <family val="2"/>
        <charset val="204"/>
      </rPr>
      <t>В целях экономии для следующих лет,</t>
    </r>
    <r>
      <rPr>
        <i/>
        <sz val="11"/>
        <rFont val="Calibri"/>
        <family val="2"/>
        <charset val="204"/>
      </rPr>
      <t xml:space="preserve"> по опыту соседних поселков, возможен переход от ламп на дуге к лампам в верхней части столба (в основании дуги) с тем, чтоб замену осуществлять без вызова люльки-крана, при этом при первой замене будет повышенный расход на приобретение и монтаж другого типа фонаря</t>
    </r>
  </si>
  <si>
    <t xml:space="preserve">    14.1</t>
  </si>
  <si>
    <t>эл-во уличное (1-я оч)</t>
  </si>
  <si>
    <t>В соответствии с суммой в ежемесячном счете Мосэнергосбыт (порядка 45,000/мес лето, 80,000 зима). Правление в процессе передачи сетей в Россети, что в будущем минимизирует расход</t>
  </si>
  <si>
    <t xml:space="preserve">    14.2</t>
  </si>
  <si>
    <t>эл-во адм зданий</t>
  </si>
  <si>
    <t>600КВт*8мес осень-весна + 400КВт*4мес весна-осень + доля потерь в сетях</t>
  </si>
  <si>
    <t xml:space="preserve">    14.3</t>
  </si>
  <si>
    <t>Потери в эл. сетях (1-я оч)</t>
  </si>
  <si>
    <t>согласно счетов Мосэнергосбыт</t>
  </si>
  <si>
    <t>14.4.</t>
  </si>
  <si>
    <t>Резерв (пополнение). Обслуживание трансформатора (1-я очередь)</t>
  </si>
  <si>
    <t>Пополнение резерва на 50,000 (на случай мелкого ремонта, также может быть использовано в целях статьи 11). При существенной поломке будет открыт внеочередной сбор. Возможность пополнения резерва предусмотрена прошлогодней сметой 2024-2025: "При неизрасходовании будет формирование резерва в учете - при отсутствии ремонта в текущем году, сумма в новой смете участвовать либо не будет, либо будет продолжено накопление по этой статье."</t>
  </si>
  <si>
    <t>Распределением на участки с строениями (дом, бытовка). Учет не по соткам (см.ниже)</t>
  </si>
  <si>
    <t>Услуги ассенизатора, химия</t>
  </si>
  <si>
    <t>Услуги 2024-2025 7500руб. Заложен рост услуг подрядчика + химия для выгребных ям</t>
  </si>
  <si>
    <t>Офисные расходы</t>
  </si>
  <si>
    <t>В соответствии с фактическим расходом предыдущего периода, но с корректировкой потенциальных нужд из-за увеличения документооборота и роста потребительских цен (офисная бумага, картридж для принтера, канцтовары и т.д.)</t>
  </si>
  <si>
    <t>Покос обочин</t>
  </si>
  <si>
    <t>30000руб*3 раза/год (трактором). Покос включает обочины основных дорог (круговая 1-й очереди, основная 2-й очереди вдоль трансформатора)</t>
  </si>
  <si>
    <t>Ремонт дорог (ямочный) 1-я очередь</t>
  </si>
  <si>
    <t>48,000 крошка 3 машины с доставкой + пропитка асфальтная 3,500*5 + 15000 аренда техники + рабочие 20,000</t>
  </si>
  <si>
    <t>Ремонт дорог (ямочный) 2-я очередь общая дорога (до уч 86(А)</t>
  </si>
  <si>
    <t>48,000 гравий 3 машины с доставкой + пропитка асфальтная 3,500*5 + 15000 аренда техники + рабочие 20,000</t>
  </si>
  <si>
    <t>Уборка снега 1-я очередь</t>
  </si>
  <si>
    <t>Было заложено 12,000/мес, при цене исполнителя 16,000. 15,000/чистка * 4 раз в мес</t>
  </si>
  <si>
    <r>
      <t>Уборка снега 2-я очередь (общая дорога до уч 86(А) и далее по улицам к уч.99, 111 (120), 144, 156)</t>
    </r>
    <r>
      <rPr>
        <b/>
        <sz val="11"/>
        <rFont val="Calibri"/>
        <family val="2"/>
        <charset val="204"/>
      </rPr>
      <t>**</t>
    </r>
  </si>
  <si>
    <r>
      <t>Чистка в т.ч.:
Чистка общей дороги: 10,000*4 раз в мес*5мес=</t>
    </r>
    <r>
      <rPr>
        <b/>
        <i/>
        <sz val="11"/>
        <color rgb="FFFF0000"/>
        <rFont val="Calibri"/>
        <family val="2"/>
        <charset val="204"/>
      </rPr>
      <t>200,000</t>
    </r>
    <r>
      <rPr>
        <i/>
        <sz val="11"/>
        <rFont val="Calibri"/>
        <family val="2"/>
        <charset val="204"/>
      </rPr>
      <t xml:space="preserve">
Общая дорога от въезда в ТСН до уч 86(А) оплачивается всеми собственниками 2-й очереди, далее по улицам оплачивают участки, имеющие строения ст.23 сметы). </t>
    </r>
  </si>
  <si>
    <t>Уборка снега 2-я очередь по улицам к уч.99, 111 (120), 144, 156)**</t>
  </si>
  <si>
    <t xml:space="preserve">мес </t>
  </si>
  <si>
    <t>Ливневки 1-я очередь</t>
  </si>
  <si>
    <t>Смена работы трактора 25,000 руб. Трубы 10 шт. по 10,000 руб. + доставка 3,000 руб. Рабочие 10,000 руб. смена.  
Из расчета работ в течение 2 недель + 10% запас при неучтенной сложности работ, необходимости дополнительных материалов. 
Ответственный за проведение работ: ___________________ (утвердить на собрании)</t>
  </si>
  <si>
    <t>Ремонт дороги 2-я очередь (отсыпка щебнем)</t>
  </si>
  <si>
    <t xml:space="preserve">В связи с запросом инициативной группы 2-й очереди к собранию 09.25 и отсутствием кворума на собрании, статья включена в текущую смету с распределением расхода в течение года (в смету 09.25 было предложен разовый сбор с тем, чтоб выполнить работы осенью 2025). Текущая смета позволяет выполнить сбор и выполнить работы по факту сбора всей заложенной суммы.
Цены:  1 камаз 48,000 щебень с доставкой, работа трактора 25,000 смена * 2 смены, работа рабочих 10,000 смена * 2 смены
1 уч: от КПП до уч 90 - 1 камаз (учтена в ст.20 ФЭО). 
2 уч: от перекрестка уч 85 и уч 90 до уч 96 - 3 камаза
3уч: от уч 96 до уч 98 - 1 камаз
4 уч: от уч 96 через 105 до 101 - 2 камаза
5 уч: от перекрестка 105-126 через уч 134 до уч 131 - 4 камаза
6 уч: от перекрестка перед уч 86 до уч 144 далее до уч 169, перекрестки 141-146 и 167-172
участки 2-5:  626,000 руб.; уч 6 + другие: 941,000 руб.
Ответственный за проведение работ: Пронин В. (участок 131)
</t>
  </si>
  <si>
    <t>Земельный налог</t>
  </si>
  <si>
    <t>квартал</t>
  </si>
  <si>
    <t>Квартальные платежи</t>
  </si>
  <si>
    <t>Cотовая связь</t>
  </si>
  <si>
    <t>Согласно тарифа МТС и фактического потребления услуг связи прошлого 2025-2026г.</t>
  </si>
  <si>
    <t>Непредвиденные расходы</t>
  </si>
  <si>
    <t>до 5% стоимости товаров и услуг, входящих в членские взносы (Непредвиденные расходы: не учтенные в вышеизложенных статьях расходы, возникновение которых может быть обусловлено удорожанием цен работ и услуг (в т.ч. связанным с инфляцией), затратами, связанными с изменением законодательства, решением властей различного уровня, возможными штрафами, решениями суда, услугами адвоката для представления интересов ТСН в суде (в случае превышения минимально необходимых расходов, согласно статей сметы); с аварийными работами и устранением различных повреждений.</t>
  </si>
  <si>
    <t>Итого Членские взносы:</t>
  </si>
  <si>
    <t>Целевые взносы:</t>
  </si>
  <si>
    <t>Период/шт</t>
  </si>
  <si>
    <t>Кол-во в год</t>
  </si>
  <si>
    <t>Руб./период</t>
  </si>
  <si>
    <t>Сумма, руб.
 2026-2027</t>
  </si>
  <si>
    <t>Раздевалка на пляж*</t>
  </si>
  <si>
    <t>Запрос жителей</t>
  </si>
  <si>
    <t>Система автоматического открывания ворот*</t>
  </si>
  <si>
    <t>в целях возможности въезда/выезда в ТСН по звонку</t>
  </si>
  <si>
    <t>ноутбук</t>
  </si>
  <si>
    <t xml:space="preserve">в связи с поломкой компьютера для обработки показаний электроэнергии и оперативной работы </t>
  </si>
  <si>
    <t>Велосипед*</t>
  </si>
  <si>
    <t>Вахтеру для обхода территории</t>
  </si>
  <si>
    <t>Лежаки на пляж*</t>
  </si>
  <si>
    <t>Спорт объекты*</t>
  </si>
  <si>
    <t>Теннисный стол, брусья, ворота футбольные и др.</t>
  </si>
  <si>
    <t>Пляж (ремонт)</t>
  </si>
  <si>
    <t xml:space="preserve">Песок 3 машины по 25,000 + доставка 3,500+25,000 работа трактора=50,000. </t>
  </si>
  <si>
    <t>Ремонт трубы ливневой</t>
  </si>
  <si>
    <t>трубы 3 * 10,000 + работа трактора 25,000 * 1 смена + рабочие 1 смена 10,000</t>
  </si>
  <si>
    <t>освещение парковки/детской площадки</t>
  </si>
  <si>
    <t>освещение</t>
  </si>
  <si>
    <t>Демонтаж рыбацких домиков на озере*</t>
  </si>
  <si>
    <t>требование лесника и пожарной охраны (построены ДПК Раздолье)</t>
  </si>
  <si>
    <t>Печь-буржуйка (зимнее отопление административного здания)</t>
  </si>
  <si>
    <t>печка-буржуйка + монтаж дымохода (сэндвич)</t>
  </si>
  <si>
    <t>Ремонт (включая приобретение материалов, оборудования, инструмента)</t>
  </si>
  <si>
    <t xml:space="preserve">Полы, утепление, облицовка, покраска и др. (помещение консьержа)*
Покраска, внутренний ремонт, вывоз мусора, уборка, рабочее место (адм помещение)
</t>
  </si>
  <si>
    <t>Песок (гололед)</t>
  </si>
  <si>
    <t>Песок 10 кубов с доставкой 25,000. Работы по отсыпке 10000</t>
  </si>
  <si>
    <t>Итого Целевые взносы:</t>
  </si>
  <si>
    <t>ВСЕГО расходов:</t>
  </si>
  <si>
    <t>Дополнительная составляющая платежей членских и целевых взносов с расчетом не от сотки, а от количества участков (подход Поставщиков услуг):</t>
  </si>
  <si>
    <t>участков</t>
  </si>
  <si>
    <t>стоимость/мес</t>
  </si>
  <si>
    <r>
      <t>Вывоз мусора</t>
    </r>
    <r>
      <rPr>
        <sz val="11"/>
        <color rgb="FFFF0000"/>
        <rFont val="Calibri"/>
        <family val="2"/>
        <charset val="204"/>
      </rPr>
      <t>*</t>
    </r>
  </si>
  <si>
    <t>расчетная</t>
  </si>
  <si>
    <t>Расчет произведен на основе:
1. ДС с тарифами на 2026 к договору с подрядной организацией + 10% роста тирифа с 2026
2. Договор аренды контейнера - 1,200/1шт/мес (рост цены)
3. Согласно решения ВС РФ вывоз мусора распределен на участки со строениями https://www.vsrf.ru/press_center/mass_media/31435/?ysclid=m01iscw91u504654446   (предполагается, что будет отдельной строкой в квитанции)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</si>
  <si>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charset val="204"/>
        <scheme val="minor"/>
      </rPr>
      <t>подлежит включению в квитанции 58 участков №№: 1, 2, 3, 4, 7, 12, 13, 14, 15, 19, 20, 22, 23, 24, 25 (26), 30, 32, 34, 35, 36, 37, 39, 40, 41, 42, 43, 45, 48, 49, 50, 52, 53, 55, 56, 57, 58, 61, 62, 64, 65, 66, 67, 68, 69, 71, 73, 76, 82, 243, 87,</t>
    </r>
    <r>
      <rPr>
        <b/>
        <sz val="11"/>
        <color theme="1"/>
        <rFont val="Aptos Narrow"/>
        <family val="2"/>
        <scheme val="minor"/>
      </rPr>
      <t xml:space="preserve"> 89</t>
    </r>
    <r>
      <rPr>
        <sz val="11"/>
        <color theme="1"/>
        <rFont val="Aptos Narrow"/>
        <family val="2"/>
        <charset val="204"/>
        <scheme val="minor"/>
      </rPr>
      <t>, 93, 99, 101, 111 (120), 144, 155, 156</t>
    </r>
    <r>
      <rPr>
        <sz val="11"/>
        <color theme="1"/>
        <rFont val="Aptos Narrow"/>
        <family val="2"/>
        <scheme val="minor"/>
      </rPr>
      <t>. При постройке новых домов будет расширен перечень участков, оплачивающих мусор</t>
    </r>
  </si>
  <si>
    <t>цена/мес</t>
  </si>
  <si>
    <t>Уборка снега 2-я очередь по улицам к уч.99, 111 (120), 144 и уч.156</t>
  </si>
  <si>
    <r>
      <t>Дополнительная плата за чистку до дома 8 участков: 1,000 руб*8уч*5мес=40,000.</t>
    </r>
    <r>
      <rPr>
        <i/>
        <sz val="11"/>
        <color rgb="FFFF0000"/>
        <rFont val="Calibri"/>
        <family val="2"/>
        <charset val="204"/>
      </rPr>
      <t>**</t>
    </r>
    <r>
      <rPr>
        <i/>
        <sz val="11"/>
        <rFont val="Calibri"/>
        <family val="2"/>
        <charset val="204"/>
      </rPr>
      <t xml:space="preserve">
</t>
    </r>
  </si>
  <si>
    <r>
      <rPr>
        <sz val="11"/>
        <color rgb="FFFF0000"/>
        <rFont val="Aptos Narrow"/>
        <family val="2"/>
        <scheme val="minor"/>
      </rPr>
      <t>**</t>
    </r>
    <r>
      <rPr>
        <sz val="11"/>
        <color theme="1"/>
        <rFont val="Aptos Narrow"/>
        <family val="2"/>
        <charset val="204"/>
        <scheme val="minor"/>
      </rPr>
      <t>подлежит включению в квитанции 8 участков доп оплата за снег: 87, 89, 93, 99, 111 (120), 133, 144, 156. При постройке новых домов будет расширен перечень участков, оплачивающих чистку до участка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</si>
</sst>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i/>
      <sz val="9"/>
      <color rgb="FF000000"/>
      <name val="Arial"/>
      <family val="2"/>
      <charset val="204"/>
    </font>
    <font>
      <i/>
      <sz val="11"/>
      <color theme="1"/>
      <name val="Aptos Narrow"/>
      <family val="2"/>
      <scheme val="minor"/>
    </font>
    <font>
      <i/>
      <sz val="11"/>
      <color rgb="FF0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9"/>
      <color rgb="FF00000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204"/>
    </font>
    <font>
      <sz val="11"/>
      <color rgb="FFFF0000"/>
      <name val="Aptos Narrow"/>
      <family val="2"/>
      <scheme val="minor"/>
    </font>
    <font>
      <b/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Aptos"/>
      <family val="2"/>
    </font>
    <font>
      <sz val="11"/>
      <color rgb="FFFF0000"/>
      <name val="Aptos"/>
      <family val="2"/>
    </font>
    <font>
      <sz val="14"/>
      <color theme="1"/>
      <name val="Aptos"/>
      <family val="2"/>
    </font>
    <font>
      <i/>
      <sz val="11"/>
      <color rgb="FFFF0000"/>
      <name val="Calibri"/>
      <family val="2"/>
      <charset val="204"/>
    </font>
    <font>
      <sz val="11"/>
      <name val="Aptos Narrow"/>
      <family val="2"/>
      <charset val="204"/>
      <scheme val="minor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CC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/>
    <xf numFmtId="0" fontId="3" fillId="0" borderId="0" xfId="0" applyFont="1" applyAlignment="1">
      <alignment horizontal="left" wrapText="1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/>
    <xf numFmtId="0" fontId="3" fillId="2" borderId="6" xfId="0" applyFont="1" applyFill="1" applyBorder="1"/>
    <xf numFmtId="0" fontId="2" fillId="0" borderId="0" xfId="0" applyFont="1"/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3" fillId="2" borderId="7" xfId="0" applyFont="1" applyFill="1" applyBorder="1"/>
    <xf numFmtId="0" fontId="7" fillId="4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5" borderId="11" xfId="0" applyFill="1" applyBorder="1"/>
    <xf numFmtId="0" fontId="8" fillId="5" borderId="12" xfId="0" applyFont="1" applyFill="1" applyBorder="1"/>
    <xf numFmtId="0" fontId="7" fillId="4" borderId="13" xfId="0" applyFont="1" applyFill="1" applyBorder="1" applyAlignment="1">
      <alignment horizontal="center"/>
    </xf>
    <xf numFmtId="0" fontId="8" fillId="0" borderId="6" xfId="0" applyFont="1" applyBorder="1"/>
    <xf numFmtId="0" fontId="8" fillId="5" borderId="14" xfId="0" applyFont="1" applyFill="1" applyBorder="1"/>
    <xf numFmtId="0" fontId="0" fillId="5" borderId="0" xfId="0" applyFill="1"/>
    <xf numFmtId="0" fontId="0" fillId="6" borderId="0" xfId="0" applyFill="1"/>
    <xf numFmtId="0" fontId="4" fillId="3" borderId="0" xfId="0" applyFont="1" applyFill="1" applyAlignment="1">
      <alignment horizontal="left" vertical="top"/>
    </xf>
    <xf numFmtId="0" fontId="7" fillId="4" borderId="6" xfId="0" applyFont="1" applyFill="1" applyBorder="1"/>
    <xf numFmtId="4" fontId="8" fillId="0" borderId="6" xfId="0" applyNumberFormat="1" applyFont="1" applyBorder="1"/>
    <xf numFmtId="4" fontId="0" fillId="5" borderId="0" xfId="0" applyNumberFormat="1" applyFill="1"/>
    <xf numFmtId="4" fontId="0" fillId="6" borderId="0" xfId="0" applyNumberFormat="1" applyFill="1"/>
    <xf numFmtId="0" fontId="3" fillId="0" borderId="0" xfId="0" applyFont="1"/>
    <xf numFmtId="0" fontId="7" fillId="4" borderId="7" xfId="0" applyFont="1" applyFill="1" applyBorder="1"/>
    <xf numFmtId="4" fontId="8" fillId="0" borderId="7" xfId="0" applyNumberFormat="1" applyFont="1" applyBorder="1"/>
    <xf numFmtId="0" fontId="9" fillId="0" borderId="0" xfId="0" applyFont="1"/>
    <xf numFmtId="0" fontId="1" fillId="0" borderId="0" xfId="0" applyFont="1"/>
    <xf numFmtId="0" fontId="10" fillId="3" borderId="0" xfId="0" applyFont="1" applyFill="1" applyAlignment="1">
      <alignment horizontal="center" vertical="top"/>
    </xf>
    <xf numFmtId="0" fontId="10" fillId="3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7" fillId="4" borderId="7" xfId="0" applyFont="1" applyFill="1" applyBorder="1" applyAlignment="1">
      <alignment horizontal="center" vertical="center"/>
    </xf>
    <xf numFmtId="0" fontId="0" fillId="0" borderId="8" xfId="0" applyBorder="1"/>
    <xf numFmtId="4" fontId="8" fillId="0" borderId="9" xfId="0" applyNumberFormat="1" applyFont="1" applyBorder="1"/>
    <xf numFmtId="0" fontId="12" fillId="0" borderId="0" xfId="0" applyFont="1" applyAlignment="1">
      <alignment horizontal="left" wrapText="1"/>
    </xf>
    <xf numFmtId="0" fontId="7" fillId="4" borderId="13" xfId="0" applyFont="1" applyFill="1" applyBorder="1" applyAlignment="1">
      <alignment horizontal="center" vertical="center"/>
    </xf>
    <xf numFmtId="0" fontId="0" fillId="0" borderId="13" xfId="0" applyBorder="1"/>
    <xf numFmtId="0" fontId="8" fillId="0" borderId="11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12" fillId="0" borderId="0" xfId="0" applyFont="1" applyAlignment="1">
      <alignment horizontal="center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6" borderId="0" xfId="0" applyFont="1" applyFill="1" applyAlignment="1">
      <alignment horizontal="left" vertical="top" wrapText="1"/>
    </xf>
    <xf numFmtId="4" fontId="0" fillId="4" borderId="6" xfId="0" applyNumberFormat="1" applyFill="1" applyBorder="1"/>
    <xf numFmtId="0" fontId="0" fillId="4" borderId="6" xfId="0" applyFill="1" applyBorder="1"/>
    <xf numFmtId="0" fontId="2" fillId="0" borderId="0" xfId="0" applyFont="1" applyAlignment="1">
      <alignment wrapText="1"/>
    </xf>
    <xf numFmtId="4" fontId="7" fillId="4" borderId="6" xfId="0" applyNumberFormat="1" applyFont="1" applyFill="1" applyBorder="1"/>
    <xf numFmtId="0" fontId="13" fillId="0" borderId="0" xfId="0" applyFont="1" applyAlignment="1">
      <alignment horizontal="right"/>
    </xf>
    <xf numFmtId="4" fontId="0" fillId="4" borderId="7" xfId="0" applyNumberFormat="1" applyFill="1" applyBorder="1"/>
    <xf numFmtId="0" fontId="14" fillId="3" borderId="0" xfId="0" applyFont="1" applyFill="1" applyAlignment="1">
      <alignment vertical="top"/>
    </xf>
    <xf numFmtId="0" fontId="14" fillId="3" borderId="0" xfId="0" applyFont="1" applyFill="1" applyAlignment="1">
      <alignment horizontal="center" vertical="top"/>
    </xf>
    <xf numFmtId="0" fontId="15" fillId="3" borderId="0" xfId="0" applyFont="1" applyFill="1" applyAlignment="1">
      <alignment vertical="top"/>
    </xf>
    <xf numFmtId="0" fontId="16" fillId="3" borderId="0" xfId="0" applyFont="1" applyFill="1" applyAlignment="1">
      <alignment vertical="top"/>
    </xf>
    <xf numFmtId="0" fontId="7" fillId="4" borderId="5" xfId="0" applyFont="1" applyFill="1" applyBorder="1" applyAlignment="1">
      <alignment horizontal="center" vertical="center"/>
    </xf>
    <xf numFmtId="0" fontId="0" fillId="4" borderId="0" xfId="0" applyFill="1"/>
    <xf numFmtId="0" fontId="0" fillId="4" borderId="9" xfId="0" applyFill="1" applyBorder="1"/>
    <xf numFmtId="0" fontId="0" fillId="4" borderId="10" xfId="0" applyFill="1" applyBorder="1"/>
    <xf numFmtId="0" fontId="0" fillId="4" borderId="8" xfId="0" applyFill="1" applyBorder="1"/>
    <xf numFmtId="0" fontId="17" fillId="3" borderId="0" xfId="0" applyFont="1" applyFill="1" applyAlignment="1">
      <alignment vertical="top"/>
    </xf>
    <xf numFmtId="0" fontId="17" fillId="3" borderId="0" xfId="0" applyFont="1" applyFill="1" applyAlignment="1">
      <alignment horizontal="center" vertical="top"/>
    </xf>
    <xf numFmtId="0" fontId="7" fillId="4" borderId="1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right"/>
    </xf>
    <xf numFmtId="0" fontId="18" fillId="3" borderId="0" xfId="0" applyFont="1" applyFill="1" applyAlignment="1">
      <alignment vertical="top"/>
    </xf>
    <xf numFmtId="0" fontId="19" fillId="3" borderId="0" xfId="0" applyFont="1" applyFill="1" applyAlignment="1">
      <alignment horizontal="center" vertical="top"/>
    </xf>
    <xf numFmtId="0" fontId="19" fillId="3" borderId="0" xfId="0" applyFont="1" applyFill="1" applyAlignment="1">
      <alignment vertical="top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vertical="center" wrapText="1"/>
    </xf>
    <xf numFmtId="0" fontId="7" fillId="6" borderId="0" xfId="0" applyFont="1" applyFill="1" applyAlignment="1">
      <alignment horizontal="center"/>
    </xf>
    <xf numFmtId="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9" fillId="3" borderId="16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4" fontId="0" fillId="3" borderId="7" xfId="0" applyNumberFormat="1" applyFill="1" applyBorder="1" applyAlignment="1">
      <alignment horizontal="center" vertical="top" wrapText="1"/>
    </xf>
    <xf numFmtId="0" fontId="19" fillId="3" borderId="19" xfId="0" applyFont="1" applyFill="1" applyBorder="1" applyAlignment="1">
      <alignment horizontal="center" vertical="top"/>
    </xf>
    <xf numFmtId="0" fontId="19" fillId="3" borderId="20" xfId="0" applyFont="1" applyFill="1" applyBorder="1" applyAlignment="1">
      <alignment horizontal="center" vertical="top"/>
    </xf>
    <xf numFmtId="0" fontId="19" fillId="3" borderId="20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top" wrapText="1"/>
    </xf>
    <xf numFmtId="4" fontId="0" fillId="3" borderId="20" xfId="0" applyNumberFormat="1" applyFill="1" applyBorder="1" applyAlignment="1">
      <alignment horizontal="center" vertical="top" wrapText="1"/>
    </xf>
    <xf numFmtId="0" fontId="7" fillId="6" borderId="0" xfId="0" applyFont="1" applyFill="1"/>
    <xf numFmtId="4" fontId="0" fillId="3" borderId="13" xfId="0" applyNumberFormat="1" applyFill="1" applyBorder="1" applyAlignment="1">
      <alignment horizontal="center" vertical="top" wrapText="1"/>
    </xf>
    <xf numFmtId="0" fontId="16" fillId="0" borderId="6" xfId="0" applyFont="1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/>
    </xf>
    <xf numFmtId="4" fontId="16" fillId="0" borderId="6" xfId="0" applyNumberFormat="1" applyFont="1" applyBorder="1" applyAlignment="1">
      <alignment horizontal="right" vertical="top"/>
    </xf>
    <xf numFmtId="4" fontId="15" fillId="0" borderId="6" xfId="0" applyNumberFormat="1" applyFont="1" applyBorder="1" applyAlignment="1">
      <alignment vertical="top"/>
    </xf>
    <xf numFmtId="0" fontId="6" fillId="0" borderId="6" xfId="0" applyFont="1" applyBorder="1" applyAlignment="1">
      <alignment vertical="top" wrapText="1"/>
    </xf>
    <xf numFmtId="4" fontId="0" fillId="0" borderId="6" xfId="0" applyNumberFormat="1" applyBorder="1" applyAlignment="1">
      <alignment vertical="top"/>
    </xf>
    <xf numFmtId="0" fontId="21" fillId="0" borderId="0" xfId="0" applyFont="1" applyAlignment="1">
      <alignment vertical="top" wrapText="1"/>
    </xf>
    <xf numFmtId="0" fontId="7" fillId="6" borderId="0" xfId="0" applyFont="1" applyFill="1" applyAlignment="1">
      <alignment horizontal="center" vertical="center"/>
    </xf>
    <xf numFmtId="164" fontId="16" fillId="0" borderId="6" xfId="0" applyNumberFormat="1" applyFont="1" applyBorder="1" applyAlignment="1">
      <alignment vertical="top"/>
    </xf>
    <xf numFmtId="0" fontId="22" fillId="0" borderId="0" xfId="0" applyFont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/>
    </xf>
    <xf numFmtId="4" fontId="16" fillId="0" borderId="13" xfId="0" applyNumberFormat="1" applyFont="1" applyBorder="1" applyAlignment="1">
      <alignment vertical="top"/>
    </xf>
    <xf numFmtId="4" fontId="15" fillId="0" borderId="13" xfId="0" applyNumberFormat="1" applyFont="1" applyBorder="1" applyAlignment="1">
      <alignment vertical="top"/>
    </xf>
    <xf numFmtId="0" fontId="6" fillId="0" borderId="22" xfId="0" applyFont="1" applyBorder="1" applyAlignment="1">
      <alignment vertical="top" wrapText="1"/>
    </xf>
    <xf numFmtId="0" fontId="16" fillId="0" borderId="23" xfId="0" applyFont="1" applyBorder="1" applyAlignment="1">
      <alignment vertical="top"/>
    </xf>
    <xf numFmtId="4" fontId="16" fillId="0" borderId="6" xfId="0" applyNumberFormat="1" applyFont="1" applyBorder="1" applyAlignment="1">
      <alignment vertical="top"/>
    </xf>
    <xf numFmtId="0" fontId="6" fillId="0" borderId="24" xfId="0" applyFont="1" applyBorder="1" applyAlignment="1">
      <alignment vertical="top" wrapText="1"/>
    </xf>
    <xf numFmtId="0" fontId="16" fillId="0" borderId="25" xfId="0" applyFont="1" applyBorder="1" applyAlignment="1">
      <alignment vertical="top"/>
    </xf>
    <xf numFmtId="0" fontId="16" fillId="0" borderId="26" xfId="0" applyFont="1" applyBorder="1" applyAlignment="1">
      <alignment vertical="top"/>
    </xf>
    <xf numFmtId="0" fontId="16" fillId="0" borderId="27" xfId="0" applyFont="1" applyBorder="1" applyAlignment="1">
      <alignment vertical="top" wrapText="1"/>
    </xf>
    <xf numFmtId="0" fontId="16" fillId="0" borderId="27" xfId="0" applyFont="1" applyBorder="1" applyAlignment="1">
      <alignment horizontal="center" vertical="top"/>
    </xf>
    <xf numFmtId="4" fontId="16" fillId="0" borderId="27" xfId="0" applyNumberFormat="1" applyFont="1" applyBorder="1" applyAlignment="1">
      <alignment vertical="top"/>
    </xf>
    <xf numFmtId="4" fontId="15" fillId="0" borderId="27" xfId="0" applyNumberFormat="1" applyFont="1" applyBorder="1" applyAlignment="1">
      <alignment vertical="top"/>
    </xf>
    <xf numFmtId="0" fontId="6" fillId="0" borderId="28" xfId="0" applyFont="1" applyBorder="1" applyAlignment="1">
      <alignment vertical="top" wrapText="1"/>
    </xf>
    <xf numFmtId="4" fontId="0" fillId="4" borderId="6" xfId="0" applyNumberFormat="1" applyFill="1" applyBorder="1" applyAlignment="1">
      <alignment vertical="top"/>
    </xf>
    <xf numFmtId="16" fontId="6" fillId="0" borderId="2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vertical="top"/>
    </xf>
    <xf numFmtId="4" fontId="23" fillId="0" borderId="6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16" fontId="6" fillId="0" borderId="26" xfId="0" applyNumberFormat="1" applyFont="1" applyBorder="1" applyAlignment="1">
      <alignment horizontal="right" vertical="top"/>
    </xf>
    <xf numFmtId="0" fontId="6" fillId="0" borderId="29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top"/>
    </xf>
    <xf numFmtId="4" fontId="6" fillId="0" borderId="30" xfId="0" applyNumberFormat="1" applyFont="1" applyBorder="1" applyAlignment="1">
      <alignment vertical="top"/>
    </xf>
    <xf numFmtId="4" fontId="23" fillId="0" borderId="29" xfId="0" applyNumberFormat="1" applyFont="1" applyBorder="1" applyAlignment="1">
      <alignment vertical="top"/>
    </xf>
    <xf numFmtId="0" fontId="6" fillId="0" borderId="31" xfId="0" applyFont="1" applyBorder="1" applyAlignment="1">
      <alignment vertical="top"/>
    </xf>
    <xf numFmtId="0" fontId="16" fillId="7" borderId="32" xfId="0" applyFont="1" applyFill="1" applyBorder="1" applyAlignment="1">
      <alignment horizontal="right" vertical="top"/>
    </xf>
    <xf numFmtId="0" fontId="16" fillId="7" borderId="33" xfId="0" applyFont="1" applyFill="1" applyBorder="1" applyAlignment="1">
      <alignment vertical="top" wrapText="1"/>
    </xf>
    <xf numFmtId="0" fontId="16" fillId="7" borderId="33" xfId="0" applyFont="1" applyFill="1" applyBorder="1" applyAlignment="1">
      <alignment horizontal="center" vertical="top"/>
    </xf>
    <xf numFmtId="4" fontId="16" fillId="7" borderId="34" xfId="0" applyNumberFormat="1" applyFont="1" applyFill="1" applyBorder="1" applyAlignment="1">
      <alignment vertical="top"/>
    </xf>
    <xf numFmtId="4" fontId="15" fillId="7" borderId="33" xfId="0" applyNumberFormat="1" applyFont="1" applyFill="1" applyBorder="1" applyAlignment="1">
      <alignment vertical="top"/>
    </xf>
    <xf numFmtId="0" fontId="6" fillId="7" borderId="35" xfId="0" applyFont="1" applyFill="1" applyBorder="1" applyAlignment="1">
      <alignment vertical="top" wrapText="1"/>
    </xf>
    <xf numFmtId="0" fontId="24" fillId="0" borderId="11" xfId="0" applyFont="1" applyBorder="1"/>
    <xf numFmtId="0" fontId="0" fillId="0" borderId="11" xfId="0" applyBorder="1"/>
    <xf numFmtId="4" fontId="8" fillId="0" borderId="11" xfId="0" applyNumberFormat="1" applyFont="1" applyBorder="1"/>
    <xf numFmtId="0" fontId="0" fillId="0" borderId="36" xfId="0" applyBorder="1"/>
    <xf numFmtId="0" fontId="0" fillId="8" borderId="6" xfId="0" applyFill="1" applyBorder="1"/>
    <xf numFmtId="0" fontId="16" fillId="0" borderId="13" xfId="0" applyFont="1" applyBorder="1" applyAlignment="1">
      <alignment vertical="top"/>
    </xf>
    <xf numFmtId="4" fontId="16" fillId="0" borderId="15" xfId="0" applyNumberFormat="1" applyFont="1" applyBorder="1" applyAlignment="1">
      <alignment vertical="top"/>
    </xf>
    <xf numFmtId="0" fontId="14" fillId="0" borderId="6" xfId="0" applyFont="1" applyBorder="1" applyAlignment="1">
      <alignment vertical="top" wrapText="1"/>
    </xf>
    <xf numFmtId="0" fontId="14" fillId="0" borderId="6" xfId="0" applyFont="1" applyBorder="1" applyAlignment="1">
      <alignment horizontal="center" vertical="top"/>
    </xf>
    <xf numFmtId="4" fontId="14" fillId="0" borderId="6" xfId="0" applyNumberFormat="1" applyFont="1" applyBorder="1" applyAlignment="1">
      <alignment vertical="top"/>
    </xf>
    <xf numFmtId="0" fontId="16" fillId="0" borderId="37" xfId="0" applyFont="1" applyBorder="1" applyAlignment="1">
      <alignment vertical="top"/>
    </xf>
    <xf numFmtId="4" fontId="0" fillId="8" borderId="6" xfId="0" applyNumberFormat="1" applyFill="1" applyBorder="1" applyAlignment="1">
      <alignment vertical="top"/>
    </xf>
    <xf numFmtId="0" fontId="6" fillId="3" borderId="6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vertical="top" wrapText="1"/>
    </xf>
    <xf numFmtId="0" fontId="25" fillId="0" borderId="6" xfId="0" applyFont="1" applyBorder="1" applyAlignment="1">
      <alignment horizontal="center" vertical="top"/>
    </xf>
    <xf numFmtId="4" fontId="19" fillId="0" borderId="6" xfId="0" applyNumberFormat="1" applyFont="1" applyBorder="1" applyAlignment="1">
      <alignment vertical="top"/>
    </xf>
    <xf numFmtId="0" fontId="11" fillId="0" borderId="24" xfId="0" applyFont="1" applyBorder="1" applyAlignment="1">
      <alignment vertical="top" wrapText="1"/>
    </xf>
    <xf numFmtId="4" fontId="1" fillId="0" borderId="6" xfId="0" applyNumberFormat="1" applyFont="1" applyBorder="1" applyAlignment="1">
      <alignment vertical="top"/>
    </xf>
    <xf numFmtId="0" fontId="16" fillId="0" borderId="27" xfId="0" applyFont="1" applyBorder="1" applyAlignment="1">
      <alignment vertical="top"/>
    </xf>
    <xf numFmtId="0" fontId="25" fillId="4" borderId="38" xfId="0" applyFont="1" applyFill="1" applyBorder="1" applyAlignment="1">
      <alignment vertical="top"/>
    </xf>
    <xf numFmtId="0" fontId="25" fillId="4" borderId="39" xfId="0" applyFont="1" applyFill="1" applyBorder="1" applyAlignment="1">
      <alignment vertical="top"/>
    </xf>
    <xf numFmtId="0" fontId="25" fillId="4" borderId="39" xfId="0" applyFont="1" applyFill="1" applyBorder="1" applyAlignment="1">
      <alignment horizontal="center" vertical="top"/>
    </xf>
    <xf numFmtId="4" fontId="25" fillId="4" borderId="39" xfId="0" applyNumberFormat="1" applyFont="1" applyFill="1" applyBorder="1" applyAlignment="1">
      <alignment vertical="top"/>
    </xf>
    <xf numFmtId="4" fontId="15" fillId="4" borderId="39" xfId="0" applyNumberFormat="1" applyFont="1" applyFill="1" applyBorder="1" applyAlignment="1">
      <alignment vertical="top"/>
    </xf>
    <xf numFmtId="0" fontId="11" fillId="4" borderId="28" xfId="0" applyFont="1" applyFill="1" applyBorder="1" applyAlignment="1">
      <alignment vertical="top"/>
    </xf>
    <xf numFmtId="0" fontId="16" fillId="7" borderId="40" xfId="0" applyFont="1" applyFill="1" applyBorder="1" applyAlignment="1">
      <alignment vertical="top"/>
    </xf>
    <xf numFmtId="0" fontId="16" fillId="7" borderId="41" xfId="0" applyFont="1" applyFill="1" applyBorder="1" applyAlignment="1">
      <alignment vertical="top"/>
    </xf>
    <xf numFmtId="0" fontId="16" fillId="7" borderId="41" xfId="0" applyFont="1" applyFill="1" applyBorder="1" applyAlignment="1">
      <alignment horizontal="center" vertical="top"/>
    </xf>
    <xf numFmtId="10" fontId="16" fillId="7" borderId="41" xfId="0" applyNumberFormat="1" applyFont="1" applyFill="1" applyBorder="1" applyAlignment="1">
      <alignment vertical="top"/>
    </xf>
    <xf numFmtId="4" fontId="15" fillId="7" borderId="41" xfId="0" applyNumberFormat="1" applyFont="1" applyFill="1" applyBorder="1" applyAlignment="1">
      <alignment vertical="top"/>
    </xf>
    <xf numFmtId="0" fontId="6" fillId="7" borderId="42" xfId="0" applyFont="1" applyFill="1" applyBorder="1" applyAlignment="1">
      <alignment vertical="top" wrapText="1"/>
    </xf>
    <xf numFmtId="0" fontId="19" fillId="9" borderId="43" xfId="0" applyFont="1" applyFill="1" applyBorder="1" applyAlignment="1">
      <alignment vertical="top"/>
    </xf>
    <xf numFmtId="0" fontId="19" fillId="9" borderId="44" xfId="0" applyFont="1" applyFill="1" applyBorder="1" applyAlignment="1">
      <alignment vertical="top"/>
    </xf>
    <xf numFmtId="0" fontId="19" fillId="9" borderId="44" xfId="0" applyFont="1" applyFill="1" applyBorder="1" applyAlignment="1">
      <alignment horizontal="center" vertical="top"/>
    </xf>
    <xf numFmtId="0" fontId="19" fillId="9" borderId="44" xfId="0" applyFont="1" applyFill="1" applyBorder="1" applyAlignment="1">
      <alignment horizontal="right" vertical="top"/>
    </xf>
    <xf numFmtId="4" fontId="15" fillId="9" borderId="44" xfId="0" applyNumberFormat="1" applyFont="1" applyFill="1" applyBorder="1" applyAlignment="1">
      <alignment vertical="top"/>
    </xf>
    <xf numFmtId="0" fontId="11" fillId="10" borderId="42" xfId="0" applyFont="1" applyFill="1" applyBorder="1" applyAlignment="1">
      <alignment vertical="top"/>
    </xf>
    <xf numFmtId="4" fontId="7" fillId="3" borderId="0" xfId="0" applyNumberFormat="1" applyFont="1" applyFill="1" applyAlignment="1">
      <alignment vertical="top"/>
    </xf>
    <xf numFmtId="3" fontId="0" fillId="0" borderId="0" xfId="0" applyNumberFormat="1"/>
    <xf numFmtId="4" fontId="0" fillId="0" borderId="0" xfId="0" applyNumberFormat="1"/>
    <xf numFmtId="0" fontId="14" fillId="3" borderId="0" xfId="0" applyFont="1" applyFill="1" applyAlignment="1">
      <alignment vertical="top"/>
    </xf>
    <xf numFmtId="4" fontId="0" fillId="3" borderId="0" xfId="0" applyNumberFormat="1" applyFill="1" applyAlignment="1">
      <alignment vertical="top"/>
    </xf>
    <xf numFmtId="4" fontId="7" fillId="0" borderId="0" xfId="0" applyNumberFormat="1" applyFont="1"/>
    <xf numFmtId="0" fontId="19" fillId="3" borderId="45" xfId="0" applyFont="1" applyFill="1" applyBorder="1" applyAlignment="1">
      <alignment horizontal="center" vertical="top"/>
    </xf>
    <xf numFmtId="0" fontId="19" fillId="3" borderId="46" xfId="0" applyFont="1" applyFill="1" applyBorder="1" applyAlignment="1">
      <alignment horizontal="center" vertical="top"/>
    </xf>
    <xf numFmtId="0" fontId="19" fillId="3" borderId="46" xfId="0" applyFont="1" applyFill="1" applyBorder="1" applyAlignment="1">
      <alignment horizontal="center" vertical="top" wrapText="1"/>
    </xf>
    <xf numFmtId="0" fontId="15" fillId="3" borderId="46" xfId="0" applyFont="1" applyFill="1" applyBorder="1" applyAlignment="1">
      <alignment horizontal="center" vertical="top" wrapText="1"/>
    </xf>
    <xf numFmtId="0" fontId="11" fillId="3" borderId="47" xfId="0" applyFont="1" applyFill="1" applyBorder="1" applyAlignment="1">
      <alignment horizontal="center" vertical="top" wrapText="1"/>
    </xf>
    <xf numFmtId="4" fontId="0" fillId="3" borderId="6" xfId="0" applyNumberFormat="1" applyFill="1" applyBorder="1" applyAlignment="1">
      <alignment horizontal="center" vertical="top" wrapText="1"/>
    </xf>
    <xf numFmtId="0" fontId="14" fillId="0" borderId="25" xfId="0" applyFont="1" applyBorder="1" applyAlignment="1">
      <alignment vertical="top"/>
    </xf>
    <xf numFmtId="0" fontId="14" fillId="3" borderId="13" xfId="0" applyFont="1" applyFill="1" applyBorder="1" applyAlignment="1">
      <alignment vertical="top" wrapText="1"/>
    </xf>
    <xf numFmtId="0" fontId="14" fillId="3" borderId="13" xfId="0" applyFont="1" applyFill="1" applyBorder="1" applyAlignment="1">
      <alignment horizontal="center" vertical="top"/>
    </xf>
    <xf numFmtId="0" fontId="14" fillId="3" borderId="13" xfId="0" applyFont="1" applyFill="1" applyBorder="1" applyAlignment="1">
      <alignment horizontal="center" vertical="top" wrapText="1"/>
    </xf>
    <xf numFmtId="4" fontId="14" fillId="0" borderId="13" xfId="0" applyNumberFormat="1" applyFont="1" applyBorder="1" applyAlignment="1">
      <alignment vertical="top"/>
    </xf>
    <xf numFmtId="0" fontId="19" fillId="0" borderId="25" xfId="0" applyFont="1" applyBorder="1" applyAlignment="1">
      <alignment vertical="top"/>
    </xf>
    <xf numFmtId="0" fontId="19" fillId="3" borderId="13" xfId="0" applyFont="1" applyFill="1" applyBorder="1" applyAlignment="1">
      <alignment vertical="top" wrapText="1"/>
    </xf>
    <xf numFmtId="0" fontId="19" fillId="3" borderId="13" xfId="0" applyFont="1" applyFill="1" applyBorder="1" applyAlignment="1">
      <alignment horizontal="center" vertical="top"/>
    </xf>
    <xf numFmtId="0" fontId="19" fillId="3" borderId="13" xfId="0" applyFont="1" applyFill="1" applyBorder="1" applyAlignment="1">
      <alignment horizontal="center" vertical="top" wrapText="1"/>
    </xf>
    <xf numFmtId="4" fontId="19" fillId="0" borderId="13" xfId="0" applyNumberFormat="1" applyFont="1" applyBorder="1" applyAlignment="1">
      <alignment vertical="top"/>
    </xf>
    <xf numFmtId="0" fontId="11" fillId="0" borderId="22" xfId="0" applyFont="1" applyBorder="1" applyAlignment="1">
      <alignment vertical="top" wrapText="1"/>
    </xf>
    <xf numFmtId="4" fontId="8" fillId="0" borderId="0" xfId="0" applyNumberFormat="1" applyFont="1" applyAlignment="1">
      <alignment wrapText="1"/>
    </xf>
    <xf numFmtId="0" fontId="6" fillId="9" borderId="42" xfId="0" applyFont="1" applyFill="1" applyBorder="1" applyAlignment="1">
      <alignment vertical="top"/>
    </xf>
    <xf numFmtId="4" fontId="19" fillId="3" borderId="0" xfId="0" applyNumberFormat="1" applyFont="1" applyFill="1" applyAlignment="1">
      <alignment vertical="top"/>
    </xf>
    <xf numFmtId="4" fontId="7" fillId="0" borderId="6" xfId="0" applyNumberFormat="1" applyFont="1" applyBorder="1"/>
    <xf numFmtId="3" fontId="7" fillId="0" borderId="0" xfId="0" applyNumberFormat="1" applyFont="1"/>
    <xf numFmtId="0" fontId="4" fillId="3" borderId="0" xfId="0" applyFont="1" applyFill="1" applyAlignment="1">
      <alignment vertical="top"/>
    </xf>
    <xf numFmtId="0" fontId="26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right" vertical="top"/>
    </xf>
    <xf numFmtId="4" fontId="17" fillId="3" borderId="0" xfId="0" applyNumberFormat="1" applyFont="1" applyFill="1" applyAlignment="1">
      <alignment vertical="top"/>
    </xf>
    <xf numFmtId="0" fontId="27" fillId="0" borderId="0" xfId="0" applyFont="1"/>
    <xf numFmtId="0" fontId="0" fillId="0" borderId="0" xfId="0" applyAlignment="1">
      <alignment horizontal="left"/>
    </xf>
    <xf numFmtId="0" fontId="16" fillId="0" borderId="48" xfId="0" applyFont="1" applyBorder="1" applyAlignment="1">
      <alignment vertical="top"/>
    </xf>
    <xf numFmtId="0" fontId="16" fillId="0" borderId="49" xfId="0" applyFont="1" applyBorder="1" applyAlignment="1">
      <alignment vertical="top"/>
    </xf>
    <xf numFmtId="0" fontId="16" fillId="0" borderId="49" xfId="0" applyFont="1" applyBorder="1" applyAlignment="1">
      <alignment horizontal="center" vertical="top"/>
    </xf>
    <xf numFmtId="4" fontId="16" fillId="0" borderId="50" xfId="0" applyNumberFormat="1" applyFont="1" applyBorder="1" applyAlignment="1">
      <alignment horizontal="center" vertical="top"/>
    </xf>
    <xf numFmtId="4" fontId="15" fillId="0" borderId="49" xfId="0" applyNumberFormat="1" applyFont="1" applyBorder="1" applyAlignment="1">
      <alignment vertical="top"/>
    </xf>
    <xf numFmtId="0" fontId="6" fillId="0" borderId="51" xfId="0" applyFont="1" applyBorder="1" applyAlignment="1">
      <alignment vertical="top" wrapText="1"/>
    </xf>
    <xf numFmtId="3" fontId="7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top"/>
    </xf>
    <xf numFmtId="0" fontId="29" fillId="0" borderId="52" xfId="0" applyFont="1" applyBorder="1" applyAlignment="1">
      <alignment horizontal="left" wrapText="1"/>
    </xf>
    <xf numFmtId="0" fontId="14" fillId="3" borderId="6" xfId="0" applyFont="1" applyFill="1" applyBorder="1" applyAlignment="1">
      <alignment vertical="top"/>
    </xf>
    <xf numFmtId="4" fontId="0" fillId="0" borderId="0" xfId="0" applyNumberFormat="1" applyAlignment="1">
      <alignment vertical="top"/>
    </xf>
    <xf numFmtId="0" fontId="29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1057;&#1086;&#1073;&#1088;&#1072;&#1085;&#1080;&#1077;%2025.08.24_&#1055;&#1088;&#1086;&#1090;&#1086;&#1082;&#1086;&#1083;%209%20&#1086;&#1090;%2025.08.24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2" Type="http://schemas.openxmlformats.org/officeDocument/2006/relationships/externalLinkPath" Target="file:///C:\Users\User\Desktop\&#1056;&#1072;&#1079;&#1076;&#1086;&#1083;&#1100;&#1077;\&#1055;&#1056;&#1054;&#1058;&#1054;&#1050;&#1054;&#1051;&#1067;\&#1057;&#1086;&#1073;&#1088;&#1072;&#1085;&#1080;&#1077;%2025.08.24_&#1055;&#1088;&#1086;&#1090;&#1086;&#1082;&#1086;&#1083;%209%20&#1086;&#1090;%2025.08.24\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1" Type="http://schemas.openxmlformats.org/officeDocument/2006/relationships/externalLinkPath" Target="/Users/User/Desktop/&#1056;&#1072;&#1079;&#1076;&#1086;&#1083;&#1100;&#1077;/&#1055;&#1056;&#1054;&#1058;&#1054;&#1050;&#1054;&#1051;&#1067;/&#1057;&#1086;&#1073;&#1088;&#1072;&#1085;&#1080;&#1077;%2025.08.24_&#1055;&#1088;&#1086;&#1090;&#1086;&#1082;&#1086;&#1083;%209%20&#1086;&#1090;%2025.08.24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Смета 2024-2025"/>
      <sheetName val="ФЭО к смете 2024-2025_v2"/>
    </sheetNames>
    <sheetDataSet>
      <sheetData sheetId="0">
        <row r="64">
          <cell r="C64">
            <v>1640.9268269604802</v>
          </cell>
          <cell r="D64">
            <v>551.91674185899365</v>
          </cell>
          <cell r="E64">
            <v>2192.8435688194741</v>
          </cell>
        </row>
        <row r="65">
          <cell r="C65">
            <v>1079.7401089887953</v>
          </cell>
          <cell r="D65">
            <v>406.0801197614785</v>
          </cell>
          <cell r="E65">
            <v>1485.8202287502738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8432-2F65-4A63-8C2E-1649C24F8A51}">
  <dimension ref="A1:AA80"/>
  <sheetViews>
    <sheetView tabSelected="1" zoomScale="90" zoomScaleNormal="90" workbookViewId="0">
      <selection activeCell="A76" sqref="A76:G76"/>
    </sheetView>
  </sheetViews>
  <sheetFormatPr defaultRowHeight="14.4" x14ac:dyDescent="0.3"/>
  <cols>
    <col min="1" max="1" width="9.44140625" customWidth="1"/>
    <col min="2" max="2" width="34.44140625" customWidth="1"/>
    <col min="5" max="5" width="15" customWidth="1"/>
    <col min="6" max="6" width="15.33203125" bestFit="1" customWidth="1"/>
    <col min="7" max="7" width="86.109375" customWidth="1" collapsed="1"/>
    <col min="8" max="8" width="1.88671875" customWidth="1"/>
    <col min="9" max="9" width="14.77734375" customWidth="1"/>
    <col min="10" max="10" width="14.109375" customWidth="1"/>
    <col min="11" max="11" width="4" customWidth="1"/>
    <col min="12" max="12" width="15.77734375" customWidth="1"/>
    <col min="13" max="13" width="13.6640625" customWidth="1"/>
    <col min="14" max="14" width="12.44140625" customWidth="1"/>
    <col min="15" max="15" width="10.88671875" bestFit="1" customWidth="1"/>
    <col min="16" max="18" width="11.88671875" customWidth="1"/>
    <col min="19" max="21" width="12.21875" customWidth="1"/>
    <col min="22" max="24" width="12.88671875" customWidth="1"/>
    <col min="25" max="27" width="11.33203125" customWidth="1"/>
  </cols>
  <sheetData>
    <row r="1" spans="1:27" x14ac:dyDescent="0.3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5"/>
      <c r="M1" s="6" t="s">
        <v>1</v>
      </c>
      <c r="N1" s="6" t="s">
        <v>2</v>
      </c>
      <c r="O1" s="7" t="s">
        <v>3</v>
      </c>
    </row>
    <row r="2" spans="1:27" x14ac:dyDescent="0.3">
      <c r="A2" s="1" t="s">
        <v>4</v>
      </c>
      <c r="B2" s="1"/>
      <c r="C2" s="1"/>
      <c r="D2" s="1"/>
      <c r="E2" s="1"/>
      <c r="F2" s="1"/>
      <c r="G2" s="1"/>
      <c r="H2" s="8"/>
      <c r="I2" s="9"/>
      <c r="J2" s="10"/>
      <c r="K2" s="10"/>
      <c r="L2" s="11" t="s">
        <v>5</v>
      </c>
      <c r="M2" s="12">
        <v>1064.51</v>
      </c>
      <c r="N2" s="13">
        <v>1783.25</v>
      </c>
      <c r="O2" s="12">
        <f>SUM(M2:N2)</f>
        <v>2847.76</v>
      </c>
    </row>
    <row r="3" spans="1:27" x14ac:dyDescent="0.3">
      <c r="A3" s="14" t="s">
        <v>6</v>
      </c>
      <c r="C3" s="15"/>
      <c r="D3" s="15"/>
      <c r="E3" s="16"/>
      <c r="F3" s="17"/>
      <c r="G3" s="18"/>
      <c r="I3" s="9"/>
      <c r="J3" s="10"/>
      <c r="K3" s="10"/>
      <c r="L3" s="11" t="s">
        <v>7</v>
      </c>
      <c r="M3" s="19">
        <v>83</v>
      </c>
      <c r="N3" s="19">
        <v>158</v>
      </c>
      <c r="O3" s="19">
        <f>M3+N3</f>
        <v>241</v>
      </c>
    </row>
    <row r="4" spans="1:27" ht="14.4" customHeight="1" x14ac:dyDescent="0.3">
      <c r="A4" s="14" t="s">
        <v>8</v>
      </c>
      <c r="C4" s="15"/>
      <c r="D4" s="15"/>
      <c r="E4" s="16"/>
      <c r="F4" s="17"/>
      <c r="G4" s="18"/>
      <c r="L4" s="20" t="s">
        <v>9</v>
      </c>
      <c r="M4" s="21" t="s">
        <v>10</v>
      </c>
      <c r="N4" s="22"/>
      <c r="O4" s="23"/>
      <c r="S4" s="24"/>
      <c r="T4" s="24"/>
      <c r="U4" s="25" t="s">
        <v>11</v>
      </c>
      <c r="V4" s="24"/>
      <c r="W4" s="24"/>
      <c r="X4" s="24"/>
      <c r="Y4" s="24"/>
    </row>
    <row r="5" spans="1:27" ht="14.4" customHeight="1" x14ac:dyDescent="0.3">
      <c r="A5" s="1" t="s">
        <v>12</v>
      </c>
      <c r="B5" s="1"/>
      <c r="C5" s="1"/>
      <c r="D5" s="1"/>
      <c r="E5" s="1"/>
      <c r="F5" s="1"/>
      <c r="G5" s="18"/>
      <c r="L5" s="26"/>
      <c r="M5" s="27" t="s">
        <v>13</v>
      </c>
      <c r="N5" s="27" t="s">
        <v>14</v>
      </c>
      <c r="O5" s="27" t="s">
        <v>15</v>
      </c>
      <c r="S5" s="28" t="s">
        <v>16</v>
      </c>
      <c r="T5" s="29"/>
      <c r="V5" s="29" t="s">
        <v>17</v>
      </c>
      <c r="W5" s="29"/>
      <c r="X5" s="29"/>
      <c r="Y5" s="29"/>
      <c r="AA5" s="30"/>
    </row>
    <row r="6" spans="1:27" ht="14.4" customHeight="1" x14ac:dyDescent="0.3">
      <c r="A6" s="14" t="s">
        <v>18</v>
      </c>
      <c r="C6" s="15"/>
      <c r="D6" s="15"/>
      <c r="E6" s="31"/>
      <c r="F6" s="17"/>
      <c r="G6" s="18"/>
      <c r="L6" s="32" t="s">
        <v>19</v>
      </c>
      <c r="M6" s="33">
        <f>I53</f>
        <v>3256.7013055901552</v>
      </c>
      <c r="N6" s="33">
        <f>I70</f>
        <v>277.41101778239744</v>
      </c>
      <c r="O6" s="33">
        <f>SUM(M6:N6)</f>
        <v>3534.1123233725525</v>
      </c>
      <c r="S6" s="34">
        <f>(O6+O8)*100/(AA13+AA15)-100</f>
        <v>49.462396493713754</v>
      </c>
      <c r="T6" s="29"/>
      <c r="V6" s="34">
        <f>((O13*1.1)+((O13*1.1)*1.1)+(((O13*1.1)*1.1)*1.1)+((((O13*1.1)*1.1)*1.1)*1.1)+(((((O13*1.1)*1.1)*1.1)*1.1)*1.1)+((((((O13*1.1)*1.1)*1.1)*1.1)*1.1)*1.1))/6</f>
        <v>3558.5576380200014</v>
      </c>
      <c r="W6" s="29"/>
      <c r="X6" s="29"/>
      <c r="Y6" s="29"/>
      <c r="AA6" s="35"/>
    </row>
    <row r="7" spans="1:27" ht="14.4" customHeight="1" x14ac:dyDescent="0.3">
      <c r="A7" s="36" t="s">
        <v>20</v>
      </c>
      <c r="C7" s="15"/>
      <c r="D7" s="15"/>
      <c r="E7" s="16"/>
      <c r="F7" s="17"/>
      <c r="G7" s="18"/>
      <c r="L7" s="37" t="s">
        <v>21</v>
      </c>
      <c r="M7" s="38">
        <f>J53</f>
        <v>2405.2392503497676</v>
      </c>
      <c r="N7" s="38">
        <f>J70</f>
        <v>277.41101778239744</v>
      </c>
      <c r="O7" s="38">
        <f>SUM(M7:N7)</f>
        <v>2682.6502681321649</v>
      </c>
      <c r="S7" s="34">
        <f>(O7+O9+O8)*100/(AA14+AA16+AA15)-100</f>
        <v>55.584108707945887</v>
      </c>
      <c r="T7" s="29"/>
      <c r="V7" s="34">
        <f>((O14*1.1)+((O14*1.1)*1.1)+(((O14*1.1)*1.1)*1.1)+((((O14*1.1)*1.1)*1.1)*1.1)+(((((O14*1.1)*1.1)*1.1)*1.1)*1.1)+((((((O14*1.1)*1.1)*1.1)*1.1)*1.1)*1.1))/6</f>
        <v>2360.7773400750011</v>
      </c>
      <c r="W7" s="29"/>
      <c r="X7" s="29"/>
      <c r="Y7" s="29"/>
      <c r="AA7" s="35"/>
    </row>
    <row r="8" spans="1:27" ht="14.4" customHeight="1" x14ac:dyDescent="0.3">
      <c r="A8" s="39" t="s">
        <v>22</v>
      </c>
      <c r="B8" s="40"/>
      <c r="C8" s="41"/>
      <c r="D8" s="41"/>
      <c r="E8" s="42"/>
      <c r="F8" s="17"/>
      <c r="G8" s="43"/>
      <c r="L8" s="44" t="s">
        <v>23</v>
      </c>
      <c r="M8" s="45" t="s">
        <v>24</v>
      </c>
      <c r="N8" s="46"/>
      <c r="O8" s="46">
        <f>J75</f>
        <v>404.28160919540232</v>
      </c>
      <c r="P8" s="47" t="s">
        <v>25</v>
      </c>
      <c r="Q8" s="47"/>
      <c r="R8" s="47"/>
    </row>
    <row r="9" spans="1:27" ht="14.4" customHeight="1" x14ac:dyDescent="0.3">
      <c r="C9" s="15"/>
      <c r="D9" s="15"/>
      <c r="E9" s="16"/>
      <c r="F9" s="17"/>
      <c r="G9" s="18"/>
      <c r="L9" s="48"/>
      <c r="M9" s="49" t="s">
        <v>26</v>
      </c>
      <c r="N9" s="50"/>
      <c r="O9" s="51">
        <f>J78</f>
        <v>416.66666666666669</v>
      </c>
      <c r="P9" s="47"/>
      <c r="Q9" s="47"/>
      <c r="R9" s="47"/>
    </row>
    <row r="10" spans="1:27" ht="14.4" customHeight="1" x14ac:dyDescent="0.3">
      <c r="C10" s="15"/>
      <c r="D10" s="15"/>
      <c r="E10" s="16"/>
      <c r="F10" s="17"/>
      <c r="G10" s="18"/>
      <c r="L10" t="s">
        <v>27</v>
      </c>
      <c r="N10" s="52"/>
      <c r="O10" s="53"/>
      <c r="P10" s="54"/>
      <c r="Q10" s="54"/>
      <c r="R10" s="54"/>
    </row>
    <row r="11" spans="1:27" ht="14.4" customHeight="1" x14ac:dyDescent="0.3">
      <c r="C11" s="15"/>
      <c r="D11" s="15"/>
      <c r="E11" s="16"/>
      <c r="F11" s="17"/>
      <c r="G11" s="18"/>
      <c r="L11" s="20" t="s">
        <v>9</v>
      </c>
      <c r="M11" s="55" t="s">
        <v>28</v>
      </c>
      <c r="N11" s="56"/>
      <c r="O11" s="57"/>
      <c r="P11" s="55" t="s">
        <v>29</v>
      </c>
      <c r="Q11" s="56"/>
      <c r="R11" s="57"/>
      <c r="S11" s="55" t="s">
        <v>30</v>
      </c>
      <c r="T11" s="56"/>
      <c r="U11" s="57"/>
      <c r="V11" s="55" t="s">
        <v>31</v>
      </c>
      <c r="W11" s="56"/>
      <c r="X11" s="57"/>
      <c r="Y11" s="55" t="s">
        <v>32</v>
      </c>
      <c r="Z11" s="56"/>
      <c r="AA11" s="57"/>
    </row>
    <row r="12" spans="1:27" x14ac:dyDescent="0.3">
      <c r="A12" s="58"/>
      <c r="B12" s="58"/>
      <c r="C12" s="58"/>
      <c r="D12" s="58"/>
      <c r="E12" s="58"/>
      <c r="F12" s="58"/>
      <c r="G12" s="58"/>
      <c r="L12" s="26"/>
      <c r="M12" s="59" t="s">
        <v>13</v>
      </c>
      <c r="N12" s="59" t="s">
        <v>14</v>
      </c>
      <c r="O12" s="60" t="s">
        <v>3</v>
      </c>
      <c r="P12" s="59" t="s">
        <v>13</v>
      </c>
      <c r="Q12" s="59" t="s">
        <v>14</v>
      </c>
      <c r="R12" s="60" t="s">
        <v>3</v>
      </c>
      <c r="S12" s="59" t="s">
        <v>13</v>
      </c>
      <c r="T12" s="59" t="s">
        <v>14</v>
      </c>
      <c r="U12" s="60" t="s">
        <v>3</v>
      </c>
      <c r="V12" s="59" t="s">
        <v>13</v>
      </c>
      <c r="W12" s="59" t="s">
        <v>14</v>
      </c>
      <c r="X12" s="60" t="s">
        <v>3</v>
      </c>
      <c r="Y12" s="59" t="s">
        <v>13</v>
      </c>
      <c r="Z12" s="59" t="s">
        <v>14</v>
      </c>
      <c r="AA12" s="60" t="s">
        <v>3</v>
      </c>
    </row>
    <row r="13" spans="1:27" ht="14.4" customHeight="1" x14ac:dyDescent="0.3">
      <c r="A13" s="61"/>
      <c r="C13" s="15"/>
      <c r="D13" s="15"/>
      <c r="E13" s="16"/>
      <c r="F13" s="17"/>
      <c r="G13" s="18"/>
      <c r="L13" s="32" t="s">
        <v>19</v>
      </c>
      <c r="M13" s="59">
        <v>2146.98</v>
      </c>
      <c r="N13" s="59">
        <v>368.74</v>
      </c>
      <c r="O13" s="62">
        <f>M13+N13</f>
        <v>2515.7200000000003</v>
      </c>
      <c r="P13" s="59">
        <v>1831.52</v>
      </c>
      <c r="Q13" s="59">
        <v>499.17</v>
      </c>
      <c r="R13" s="62">
        <f>P13+Q13</f>
        <v>2330.69</v>
      </c>
      <c r="S13" s="59">
        <v>1868.13</v>
      </c>
      <c r="T13" s="59">
        <v>544.91</v>
      </c>
      <c r="U13" s="62">
        <f>S13+T13</f>
        <v>2413.04</v>
      </c>
      <c r="V13" s="59">
        <f>'[1]Смета 2024-2025'!C64</f>
        <v>1640.9268269604802</v>
      </c>
      <c r="W13" s="59">
        <f>'[1]Смета 2024-2025'!D64</f>
        <v>551.91674185899365</v>
      </c>
      <c r="X13" s="59">
        <f>'[1]Смета 2024-2025'!E64</f>
        <v>2192.8435688194741</v>
      </c>
      <c r="Y13" s="59">
        <v>2098.98</v>
      </c>
      <c r="Z13" s="59">
        <v>189.62</v>
      </c>
      <c r="AA13" s="59">
        <f>Y13+Z13</f>
        <v>2288.6</v>
      </c>
    </row>
    <row r="14" spans="1:27" ht="15" customHeight="1" x14ac:dyDescent="0.3">
      <c r="B14" s="16"/>
      <c r="C14" s="15"/>
      <c r="D14" s="15"/>
      <c r="E14" s="16"/>
      <c r="F14" s="17"/>
      <c r="G14" s="63" t="s">
        <v>33</v>
      </c>
      <c r="L14" s="32" t="s">
        <v>21</v>
      </c>
      <c r="M14" s="59">
        <v>1300.21</v>
      </c>
      <c r="N14" s="59">
        <v>368.74</v>
      </c>
      <c r="O14" s="62">
        <f>M14+N14</f>
        <v>1668.95</v>
      </c>
      <c r="P14" s="59">
        <v>1709.17</v>
      </c>
      <c r="Q14" s="59">
        <v>808.43</v>
      </c>
      <c r="R14" s="62">
        <f>P14+Q14</f>
        <v>2517.6</v>
      </c>
      <c r="S14" s="59">
        <v>1606.27</v>
      </c>
      <c r="T14" s="59">
        <v>893.25</v>
      </c>
      <c r="U14" s="62">
        <f>S14+T14</f>
        <v>2499.52</v>
      </c>
      <c r="V14" s="64">
        <f>'[1]Смета 2024-2025'!C65</f>
        <v>1079.7401089887953</v>
      </c>
      <c r="W14" s="64">
        <f>'[1]Смета 2024-2025'!D65</f>
        <v>406.0801197614785</v>
      </c>
      <c r="X14" s="64">
        <f>'[1]Смета 2024-2025'!E65</f>
        <v>1485.8202287502738</v>
      </c>
      <c r="Y14" s="64">
        <v>1299.17</v>
      </c>
      <c r="Z14" s="64">
        <v>189.62</v>
      </c>
      <c r="AA14" s="59">
        <f>Y14+Z14</f>
        <v>1488.79</v>
      </c>
    </row>
    <row r="15" spans="1:27" x14ac:dyDescent="0.3">
      <c r="A15" s="65"/>
      <c r="C15" s="66"/>
      <c r="D15" s="66"/>
      <c r="E15" s="65"/>
      <c r="F15" s="67"/>
      <c r="G15" s="68"/>
      <c r="L15" s="69" t="s">
        <v>23</v>
      </c>
      <c r="S15" s="70"/>
      <c r="T15" s="70"/>
      <c r="U15" s="70"/>
      <c r="V15" s="71" t="s">
        <v>24</v>
      </c>
      <c r="W15" s="71"/>
      <c r="X15" s="72">
        <v>314.47000000000003</v>
      </c>
      <c r="Y15" s="73" t="s">
        <v>24</v>
      </c>
      <c r="Z15" s="71"/>
      <c r="AA15" s="72">
        <v>346.44</v>
      </c>
    </row>
    <row r="16" spans="1:27" ht="18" x14ac:dyDescent="0.3">
      <c r="A16" s="74" t="s">
        <v>34</v>
      </c>
      <c r="B16" s="74"/>
      <c r="C16" s="75"/>
      <c r="D16" s="75"/>
      <c r="E16" s="74"/>
      <c r="F16" s="74"/>
      <c r="G16" s="74"/>
      <c r="L16" s="76"/>
      <c r="S16" s="70"/>
      <c r="T16" s="77"/>
      <c r="U16" s="78"/>
      <c r="V16" s="72" t="s">
        <v>26</v>
      </c>
      <c r="W16" s="79"/>
      <c r="X16" s="80">
        <v>625</v>
      </c>
      <c r="Y16" s="60" t="s">
        <v>26</v>
      </c>
      <c r="Z16" s="79"/>
      <c r="AA16" s="80">
        <v>416.67</v>
      </c>
    </row>
    <row r="17" spans="1:27" ht="18.600000000000001" thickBot="1" x14ac:dyDescent="0.35">
      <c r="A17" s="81" t="s">
        <v>35</v>
      </c>
      <c r="B17" s="81"/>
      <c r="C17" s="82"/>
      <c r="D17" s="82"/>
      <c r="E17" s="83"/>
      <c r="F17" s="67"/>
      <c r="G17" s="43"/>
      <c r="I17" s="84" t="s">
        <v>19</v>
      </c>
      <c r="J17" s="84" t="s">
        <v>21</v>
      </c>
      <c r="L17" s="85"/>
      <c r="S17" s="86"/>
      <c r="T17" s="87"/>
      <c r="X17" s="88">
        <f>X13+X15</f>
        <v>2507.3135688194743</v>
      </c>
      <c r="Y17" s="89"/>
      <c r="Z17" s="89"/>
      <c r="AA17" s="88">
        <f>AA13+AA15</f>
        <v>2635.04</v>
      </c>
    </row>
    <row r="18" spans="1:27" s="84" customFormat="1" ht="18.600000000000001" customHeight="1" x14ac:dyDescent="0.3">
      <c r="A18" s="90" t="s">
        <v>36</v>
      </c>
      <c r="B18" s="91" t="s">
        <v>37</v>
      </c>
      <c r="C18" s="91" t="s">
        <v>38</v>
      </c>
      <c r="D18" s="92" t="s">
        <v>39</v>
      </c>
      <c r="E18" s="92" t="s">
        <v>40</v>
      </c>
      <c r="F18" s="93" t="s">
        <v>41</v>
      </c>
      <c r="G18" s="94" t="s">
        <v>42</v>
      </c>
      <c r="I18" s="95" t="s">
        <v>43</v>
      </c>
      <c r="J18" s="95" t="s">
        <v>43</v>
      </c>
      <c r="L18" s="86"/>
      <c r="S18" s="86"/>
      <c r="T18" s="87"/>
      <c r="X18" s="88">
        <f>X14+X15+X16</f>
        <v>2425.2902287502739</v>
      </c>
      <c r="Y18" s="89"/>
      <c r="Z18" s="89"/>
      <c r="AA18" s="88">
        <f>AA14+AA15+AA16</f>
        <v>2251.9</v>
      </c>
    </row>
    <row r="19" spans="1:27" s="84" customFormat="1" ht="19.2" customHeight="1" x14ac:dyDescent="0.3">
      <c r="A19" s="96"/>
      <c r="B19" s="97"/>
      <c r="C19" s="97"/>
      <c r="D19" s="98"/>
      <c r="E19" s="98"/>
      <c r="F19" s="99"/>
      <c r="G19" s="100"/>
      <c r="I19" s="101"/>
      <c r="J19" s="101"/>
      <c r="L19" s="86"/>
      <c r="M19" s="86"/>
      <c r="N19" s="102"/>
    </row>
    <row r="20" spans="1:27" s="84" customFormat="1" ht="19.2" customHeight="1" x14ac:dyDescent="0.3">
      <c r="A20" s="96"/>
      <c r="B20" s="97"/>
      <c r="C20" s="97"/>
      <c r="D20" s="98"/>
      <c r="E20" s="98"/>
      <c r="F20" s="99"/>
      <c r="G20" s="100"/>
      <c r="I20" s="103"/>
      <c r="J20" s="103"/>
      <c r="L20" s="86"/>
      <c r="M20" s="86"/>
      <c r="N20" s="102"/>
    </row>
    <row r="21" spans="1:27" ht="64.2" customHeight="1" x14ac:dyDescent="0.3">
      <c r="A21" s="104">
        <v>1</v>
      </c>
      <c r="B21" s="105" t="s">
        <v>44</v>
      </c>
      <c r="C21" s="106" t="s">
        <v>45</v>
      </c>
      <c r="D21" s="106">
        <v>12</v>
      </c>
      <c r="E21" s="107">
        <v>28750</v>
      </c>
      <c r="F21" s="108">
        <f>28750*12</f>
        <v>345000</v>
      </c>
      <c r="G21" s="109" t="s">
        <v>46</v>
      </c>
      <c r="I21" s="110">
        <f>F21/O$2</f>
        <v>121.14784953788239</v>
      </c>
      <c r="J21" s="110">
        <f>F21/O$2</f>
        <v>121.14784953788239</v>
      </c>
      <c r="L21" s="111"/>
      <c r="M21" s="111"/>
      <c r="N21" s="112"/>
    </row>
    <row r="22" spans="1:27" ht="19.2" customHeight="1" x14ac:dyDescent="0.3">
      <c r="A22" s="104">
        <f>A21+1</f>
        <v>2</v>
      </c>
      <c r="B22" s="104" t="s">
        <v>47</v>
      </c>
      <c r="C22" s="106" t="s">
        <v>45</v>
      </c>
      <c r="D22" s="106">
        <v>12</v>
      </c>
      <c r="E22" s="113">
        <v>0.30199999999999999</v>
      </c>
      <c r="F22" s="108">
        <f>F21*E22</f>
        <v>104190</v>
      </c>
      <c r="G22" s="109" t="s">
        <v>48</v>
      </c>
      <c r="I22" s="110">
        <f t="shared" ref="I22:I32" si="0">F22/O$2</f>
        <v>36.586650560440482</v>
      </c>
      <c r="J22" s="110">
        <f t="shared" ref="J22:J32" si="1">F22/O$2</f>
        <v>36.586650560440482</v>
      </c>
      <c r="L22" s="114"/>
      <c r="M22" s="114"/>
      <c r="N22" s="112"/>
    </row>
    <row r="23" spans="1:27" ht="28.8" x14ac:dyDescent="0.3">
      <c r="A23" s="104">
        <f t="shared" ref="A23:A49" si="2">A22+1</f>
        <v>3</v>
      </c>
      <c r="B23" s="105" t="s">
        <v>49</v>
      </c>
      <c r="C23" s="106" t="s">
        <v>45</v>
      </c>
      <c r="D23" s="106">
        <v>12</v>
      </c>
      <c r="E23" s="107">
        <v>74000</v>
      </c>
      <c r="F23" s="108">
        <f>E23*12</f>
        <v>888000</v>
      </c>
      <c r="G23" s="109" t="s">
        <v>50</v>
      </c>
      <c r="I23" s="110">
        <f t="shared" si="0"/>
        <v>311.82403011489731</v>
      </c>
      <c r="J23" s="110">
        <f t="shared" si="1"/>
        <v>311.82403011489731</v>
      </c>
      <c r="L23" s="114"/>
      <c r="M23" s="114"/>
      <c r="N23" s="114"/>
      <c r="O23" s="114"/>
      <c r="P23" s="114"/>
      <c r="Q23" s="114"/>
    </row>
    <row r="24" spans="1:27" ht="60" customHeight="1" x14ac:dyDescent="0.3">
      <c r="A24" s="104">
        <f t="shared" si="2"/>
        <v>4</v>
      </c>
      <c r="B24" s="105" t="s">
        <v>51</v>
      </c>
      <c r="C24" s="106" t="s">
        <v>45</v>
      </c>
      <c r="D24" s="106">
        <v>12</v>
      </c>
      <c r="E24" s="107">
        <v>20000</v>
      </c>
      <c r="F24" s="108">
        <f>D24*E24</f>
        <v>240000</v>
      </c>
      <c r="G24" s="109" t="s">
        <v>52</v>
      </c>
      <c r="I24" s="110">
        <f t="shared" si="0"/>
        <v>84.276764895918191</v>
      </c>
      <c r="J24" s="110">
        <f t="shared" si="1"/>
        <v>84.276764895918191</v>
      </c>
      <c r="L24" s="114"/>
      <c r="M24" s="114"/>
      <c r="N24" s="114"/>
      <c r="O24" s="114"/>
      <c r="P24" s="114"/>
      <c r="Q24" s="114"/>
    </row>
    <row r="25" spans="1:27" ht="29.4" thickBot="1" x14ac:dyDescent="0.35">
      <c r="A25" s="104">
        <f t="shared" si="2"/>
        <v>5</v>
      </c>
      <c r="B25" s="115" t="s">
        <v>53</v>
      </c>
      <c r="C25" s="116" t="s">
        <v>54</v>
      </c>
      <c r="D25" s="116">
        <v>1</v>
      </c>
      <c r="E25" s="117">
        <v>40000</v>
      </c>
      <c r="F25" s="118">
        <f>D25*E25</f>
        <v>40000</v>
      </c>
      <c r="G25" s="119" t="s">
        <v>55</v>
      </c>
      <c r="I25" s="110">
        <f t="shared" si="0"/>
        <v>14.046127482653031</v>
      </c>
      <c r="J25" s="110">
        <f t="shared" si="1"/>
        <v>14.046127482653031</v>
      </c>
    </row>
    <row r="26" spans="1:27" ht="167.4" customHeight="1" thickBot="1" x14ac:dyDescent="0.35">
      <c r="A26" s="120">
        <f>A23+1</f>
        <v>4</v>
      </c>
      <c r="B26" s="105" t="s">
        <v>56</v>
      </c>
      <c r="C26" s="106" t="s">
        <v>45</v>
      </c>
      <c r="D26" s="106">
        <v>12</v>
      </c>
      <c r="E26" s="121">
        <v>30000</v>
      </c>
      <c r="F26" s="108">
        <f t="shared" ref="F26:F50" si="3">D26*E26</f>
        <v>360000</v>
      </c>
      <c r="G26" s="122" t="s">
        <v>57</v>
      </c>
      <c r="I26" s="110">
        <f t="shared" si="0"/>
        <v>126.41514734387728</v>
      </c>
      <c r="J26" s="110">
        <f t="shared" si="1"/>
        <v>126.41514734387728</v>
      </c>
    </row>
    <row r="27" spans="1:27" ht="15" thickBot="1" x14ac:dyDescent="0.35">
      <c r="A27" s="120">
        <f>A25+1</f>
        <v>6</v>
      </c>
      <c r="B27" s="105" t="s">
        <v>58</v>
      </c>
      <c r="C27" s="106" t="s">
        <v>54</v>
      </c>
      <c r="D27" s="106">
        <v>1</v>
      </c>
      <c r="E27" s="121">
        <v>15000</v>
      </c>
      <c r="F27" s="108">
        <f>E27</f>
        <v>15000</v>
      </c>
      <c r="G27" s="122" t="s">
        <v>59</v>
      </c>
      <c r="I27" s="110">
        <f t="shared" si="0"/>
        <v>5.267297805994887</v>
      </c>
      <c r="J27" s="110">
        <f t="shared" si="1"/>
        <v>5.267297805994887</v>
      </c>
    </row>
    <row r="28" spans="1:27" ht="28.8" x14ac:dyDescent="0.3">
      <c r="A28" s="120">
        <f t="shared" si="2"/>
        <v>7</v>
      </c>
      <c r="B28" s="115" t="s">
        <v>60</v>
      </c>
      <c r="C28" s="116" t="s">
        <v>61</v>
      </c>
      <c r="D28" s="116">
        <v>12</v>
      </c>
      <c r="E28" s="117">
        <v>7000</v>
      </c>
      <c r="F28" s="118">
        <f>D28*E28+2500</f>
        <v>86500</v>
      </c>
      <c r="G28" s="119" t="s">
        <v>62</v>
      </c>
      <c r="I28" s="110">
        <f t="shared" si="0"/>
        <v>30.374750681237181</v>
      </c>
      <c r="J28" s="110">
        <f t="shared" si="1"/>
        <v>30.374750681237181</v>
      </c>
    </row>
    <row r="29" spans="1:27" ht="139.19999999999999" customHeight="1" x14ac:dyDescent="0.3">
      <c r="A29" s="123">
        <f t="shared" si="2"/>
        <v>8</v>
      </c>
      <c r="B29" s="115" t="s">
        <v>63</v>
      </c>
      <c r="C29" s="116" t="s">
        <v>54</v>
      </c>
      <c r="D29" s="116">
        <v>1</v>
      </c>
      <c r="E29" s="117">
        <f>700*100</f>
        <v>70000</v>
      </c>
      <c r="F29" s="118">
        <f>E29</f>
        <v>70000</v>
      </c>
      <c r="G29" s="119" t="s">
        <v>64</v>
      </c>
      <c r="I29" s="110">
        <f t="shared" si="0"/>
        <v>24.580723094642806</v>
      </c>
      <c r="J29" s="110">
        <f t="shared" si="1"/>
        <v>24.580723094642806</v>
      </c>
    </row>
    <row r="30" spans="1:27" ht="86.4" x14ac:dyDescent="0.3">
      <c r="A30" s="123">
        <f t="shared" si="2"/>
        <v>9</v>
      </c>
      <c r="B30" s="115" t="s">
        <v>65</v>
      </c>
      <c r="C30" s="116" t="s">
        <v>66</v>
      </c>
      <c r="D30" s="116">
        <v>200</v>
      </c>
      <c r="E30" s="117">
        <v>500</v>
      </c>
      <c r="F30" s="118">
        <f t="shared" si="3"/>
        <v>100000</v>
      </c>
      <c r="G30" s="119" t="s">
        <v>67</v>
      </c>
      <c r="I30" s="110">
        <f t="shared" si="0"/>
        <v>35.115318706632578</v>
      </c>
      <c r="J30" s="110">
        <f t="shared" si="1"/>
        <v>35.115318706632578</v>
      </c>
    </row>
    <row r="31" spans="1:27" ht="153" customHeight="1" x14ac:dyDescent="0.3">
      <c r="A31" s="123">
        <f t="shared" si="2"/>
        <v>10</v>
      </c>
      <c r="B31" s="115" t="s">
        <v>68</v>
      </c>
      <c r="C31" s="116" t="s">
        <v>69</v>
      </c>
      <c r="D31" s="116">
        <v>5</v>
      </c>
      <c r="E31" s="117">
        <f>100000</f>
        <v>100000</v>
      </c>
      <c r="F31" s="118">
        <f t="shared" si="3"/>
        <v>500000</v>
      </c>
      <c r="G31" s="119" t="s">
        <v>70</v>
      </c>
      <c r="I31" s="110">
        <f t="shared" si="0"/>
        <v>175.57659353316291</v>
      </c>
      <c r="J31" s="110">
        <f t="shared" si="1"/>
        <v>175.57659353316291</v>
      </c>
    </row>
    <row r="32" spans="1:27" ht="62.4" customHeight="1" x14ac:dyDescent="0.3">
      <c r="A32" s="123">
        <f t="shared" si="2"/>
        <v>11</v>
      </c>
      <c r="B32" s="115" t="s">
        <v>71</v>
      </c>
      <c r="C32" s="116" t="s">
        <v>61</v>
      </c>
      <c r="D32" s="116">
        <v>12</v>
      </c>
      <c r="E32" s="117">
        <v>10000</v>
      </c>
      <c r="F32" s="118">
        <f t="shared" si="3"/>
        <v>120000</v>
      </c>
      <c r="G32" s="119" t="s">
        <v>72</v>
      </c>
      <c r="I32" s="110">
        <f t="shared" si="0"/>
        <v>42.138382447959096</v>
      </c>
      <c r="J32" s="110">
        <f t="shared" si="1"/>
        <v>42.138382447959096</v>
      </c>
    </row>
    <row r="33" spans="1:10" ht="94.2" customHeight="1" thickBot="1" x14ac:dyDescent="0.35">
      <c r="A33" s="124">
        <f t="shared" si="2"/>
        <v>12</v>
      </c>
      <c r="B33" s="125" t="s">
        <v>73</v>
      </c>
      <c r="C33" s="126" t="s">
        <v>54</v>
      </c>
      <c r="D33" s="126">
        <v>1</v>
      </c>
      <c r="E33" s="127">
        <f>20*15000</f>
        <v>300000</v>
      </c>
      <c r="F33" s="128">
        <f t="shared" si="3"/>
        <v>300000</v>
      </c>
      <c r="G33" s="129" t="s">
        <v>74</v>
      </c>
      <c r="I33" s="110">
        <f>F33/M$2</f>
        <v>281.81980441705576</v>
      </c>
      <c r="J33" s="130"/>
    </row>
    <row r="34" spans="1:10" ht="46.8" customHeight="1" thickTop="1" x14ac:dyDescent="0.3">
      <c r="A34" s="131" t="s">
        <v>75</v>
      </c>
      <c r="B34" s="132" t="s">
        <v>76</v>
      </c>
      <c r="C34" s="133" t="s">
        <v>61</v>
      </c>
      <c r="D34" s="133">
        <v>12</v>
      </c>
      <c r="E34" s="134">
        <v>17000</v>
      </c>
      <c r="F34" s="135">
        <f>D34*E34</f>
        <v>204000</v>
      </c>
      <c r="G34" s="122" t="s">
        <v>77</v>
      </c>
      <c r="I34" s="110">
        <f>F34/M$2</f>
        <v>191.63746700359789</v>
      </c>
      <c r="J34" s="130"/>
    </row>
    <row r="35" spans="1:10" x14ac:dyDescent="0.3">
      <c r="A35" s="131" t="s">
        <v>78</v>
      </c>
      <c r="B35" s="132" t="s">
        <v>79</v>
      </c>
      <c r="C35" s="133" t="s">
        <v>54</v>
      </c>
      <c r="D35" s="133">
        <v>12</v>
      </c>
      <c r="E35" s="136">
        <v>15000</v>
      </c>
      <c r="F35" s="135">
        <f t="shared" ref="F35:F36" si="4">D35*E35</f>
        <v>180000</v>
      </c>
      <c r="G35" s="122" t="s">
        <v>80</v>
      </c>
      <c r="I35" s="110">
        <f>F35/O$2</f>
        <v>63.20757367193864</v>
      </c>
      <c r="J35" s="110">
        <f>F35/O$2</f>
        <v>63.20757367193864</v>
      </c>
    </row>
    <row r="36" spans="1:10" ht="16.8" customHeight="1" thickBot="1" x14ac:dyDescent="0.35">
      <c r="A36" s="137" t="s">
        <v>81</v>
      </c>
      <c r="B36" s="138" t="s">
        <v>82</v>
      </c>
      <c r="C36" s="139" t="s">
        <v>54</v>
      </c>
      <c r="D36" s="139">
        <v>12</v>
      </c>
      <c r="E36" s="140">
        <v>30000</v>
      </c>
      <c r="F36" s="141">
        <f t="shared" si="4"/>
        <v>360000</v>
      </c>
      <c r="G36" s="142" t="s">
        <v>83</v>
      </c>
      <c r="I36" s="110">
        <f>F36/M$2</f>
        <v>338.18376530046686</v>
      </c>
      <c r="J36" s="130"/>
    </row>
    <row r="37" spans="1:10" ht="87" thickTop="1" x14ac:dyDescent="0.3">
      <c r="A37" s="143" t="s">
        <v>84</v>
      </c>
      <c r="B37" s="144" t="s">
        <v>85</v>
      </c>
      <c r="C37" s="145" t="s">
        <v>69</v>
      </c>
      <c r="D37" s="145">
        <v>1</v>
      </c>
      <c r="E37" s="146">
        <v>50000</v>
      </c>
      <c r="F37" s="147">
        <f t="shared" si="3"/>
        <v>50000</v>
      </c>
      <c r="G37" s="148" t="s">
        <v>86</v>
      </c>
      <c r="I37" s="110">
        <f>F37/M$2</f>
        <v>46.96996740284262</v>
      </c>
      <c r="J37" s="130"/>
    </row>
    <row r="38" spans="1:10" x14ac:dyDescent="0.3">
      <c r="A38" s="123">
        <v>15</v>
      </c>
      <c r="B38" s="149" t="str">
        <f>B75</f>
        <v>Вывоз мусора*</v>
      </c>
      <c r="C38" s="150"/>
      <c r="D38" s="150"/>
      <c r="E38" s="150"/>
      <c r="F38" s="151">
        <f>F75</f>
        <v>281380</v>
      </c>
      <c r="G38" s="152" t="s">
        <v>87</v>
      </c>
      <c r="I38" s="153"/>
      <c r="J38" s="153"/>
    </row>
    <row r="39" spans="1:10" x14ac:dyDescent="0.3">
      <c r="A39" s="123">
        <f t="shared" si="2"/>
        <v>16</v>
      </c>
      <c r="B39" s="154" t="s">
        <v>88</v>
      </c>
      <c r="C39" s="116" t="s">
        <v>69</v>
      </c>
      <c r="D39" s="116">
        <v>4</v>
      </c>
      <c r="E39" s="155">
        <f>10000+1000</f>
        <v>11000</v>
      </c>
      <c r="F39" s="118">
        <f>D39*E39</f>
        <v>44000</v>
      </c>
      <c r="G39" s="119" t="s">
        <v>89</v>
      </c>
      <c r="I39" s="110">
        <f>F39/O$2</f>
        <v>15.450740230918335</v>
      </c>
      <c r="J39" s="110">
        <f>F39/O$2</f>
        <v>15.450740230918335</v>
      </c>
    </row>
    <row r="40" spans="1:10" ht="47.4" customHeight="1" x14ac:dyDescent="0.3">
      <c r="A40" s="104">
        <f t="shared" si="2"/>
        <v>17</v>
      </c>
      <c r="B40" s="104" t="s">
        <v>90</v>
      </c>
      <c r="C40" s="106" t="s">
        <v>69</v>
      </c>
      <c r="D40" s="106">
        <v>12</v>
      </c>
      <c r="E40" s="121">
        <v>2000</v>
      </c>
      <c r="F40" s="108">
        <f t="shared" si="3"/>
        <v>24000</v>
      </c>
      <c r="G40" s="109" t="s">
        <v>91</v>
      </c>
      <c r="I40" s="110">
        <f t="shared" ref="I40:I41" si="5">F40/O$2</f>
        <v>8.4276764895918195</v>
      </c>
      <c r="J40" s="110">
        <f t="shared" ref="J40:J41" si="6">F40/O$2</f>
        <v>8.4276764895918195</v>
      </c>
    </row>
    <row r="41" spans="1:10" ht="28.8" x14ac:dyDescent="0.3">
      <c r="A41" s="104">
        <f t="shared" si="2"/>
        <v>18</v>
      </c>
      <c r="B41" s="104" t="s">
        <v>92</v>
      </c>
      <c r="C41" s="106" t="s">
        <v>69</v>
      </c>
      <c r="D41" s="106">
        <v>3</v>
      </c>
      <c r="E41" s="121">
        <v>30000</v>
      </c>
      <c r="F41" s="108">
        <f t="shared" si="3"/>
        <v>90000</v>
      </c>
      <c r="G41" s="109" t="s">
        <v>93</v>
      </c>
      <c r="I41" s="110">
        <f t="shared" si="5"/>
        <v>31.60378683596932</v>
      </c>
      <c r="J41" s="110">
        <f t="shared" si="6"/>
        <v>31.60378683596932</v>
      </c>
    </row>
    <row r="42" spans="1:10" ht="28.8" x14ac:dyDescent="0.3">
      <c r="A42" s="104">
        <f t="shared" si="2"/>
        <v>19</v>
      </c>
      <c r="B42" s="105" t="s">
        <v>94</v>
      </c>
      <c r="C42" s="106" t="s">
        <v>69</v>
      </c>
      <c r="D42" s="106">
        <v>1</v>
      </c>
      <c r="E42" s="121">
        <f>48000*3+3500*5+15000+20000</f>
        <v>196500</v>
      </c>
      <c r="F42" s="108">
        <f t="shared" si="3"/>
        <v>196500</v>
      </c>
      <c r="G42" s="109" t="s">
        <v>95</v>
      </c>
      <c r="I42" s="110">
        <f>F42/M$2</f>
        <v>184.59197189317152</v>
      </c>
      <c r="J42" s="130"/>
    </row>
    <row r="43" spans="1:10" ht="28.8" x14ac:dyDescent="0.3">
      <c r="A43" s="104">
        <f t="shared" si="2"/>
        <v>20</v>
      </c>
      <c r="B43" s="105" t="s">
        <v>96</v>
      </c>
      <c r="C43" s="106" t="s">
        <v>69</v>
      </c>
      <c r="D43" s="106">
        <v>1</v>
      </c>
      <c r="E43" s="121">
        <f>48000*3+3500*5+15000+20000</f>
        <v>196500</v>
      </c>
      <c r="F43" s="108">
        <f t="shared" si="3"/>
        <v>196500</v>
      </c>
      <c r="G43" s="109" t="s">
        <v>97</v>
      </c>
      <c r="I43" s="130"/>
      <c r="J43" s="110">
        <f>F43/N2</f>
        <v>110.19206504976869</v>
      </c>
    </row>
    <row r="44" spans="1:10" x14ac:dyDescent="0.3">
      <c r="A44" s="104">
        <f t="shared" si="2"/>
        <v>21</v>
      </c>
      <c r="B44" s="156" t="s">
        <v>98</v>
      </c>
      <c r="C44" s="157" t="s">
        <v>61</v>
      </c>
      <c r="D44" s="157">
        <v>5</v>
      </c>
      <c r="E44" s="158">
        <f>15000*D44</f>
        <v>75000</v>
      </c>
      <c r="F44" s="108">
        <f>D44*E44</f>
        <v>375000</v>
      </c>
      <c r="G44" s="109" t="s">
        <v>99</v>
      </c>
      <c r="I44" s="110">
        <f>F44/M$2</f>
        <v>352.27475552131966</v>
      </c>
      <c r="J44" s="130"/>
    </row>
    <row r="45" spans="1:10" ht="65.400000000000006" customHeight="1" x14ac:dyDescent="0.3">
      <c r="A45" s="104">
        <f t="shared" si="2"/>
        <v>22</v>
      </c>
      <c r="B45" s="105" t="s">
        <v>100</v>
      </c>
      <c r="C45" s="157" t="s">
        <v>61</v>
      </c>
      <c r="D45" s="157">
        <v>5</v>
      </c>
      <c r="E45" s="158">
        <f>10000*4</f>
        <v>40000</v>
      </c>
      <c r="F45" s="108">
        <f>D45*E45</f>
        <v>200000</v>
      </c>
      <c r="G45" s="109" t="s">
        <v>101</v>
      </c>
      <c r="I45" s="130"/>
      <c r="J45" s="110">
        <f>F45/N$2</f>
        <v>112.15477358755082</v>
      </c>
    </row>
    <row r="46" spans="1:10" ht="28.8" x14ac:dyDescent="0.3">
      <c r="A46" s="159">
        <f t="shared" si="2"/>
        <v>23</v>
      </c>
      <c r="B46" s="105" t="s">
        <v>102</v>
      </c>
      <c r="C46" s="157" t="s">
        <v>103</v>
      </c>
      <c r="D46" s="157">
        <v>5</v>
      </c>
      <c r="E46" s="158">
        <v>6000</v>
      </c>
      <c r="F46" s="108">
        <f>F78</f>
        <v>40000</v>
      </c>
      <c r="G46" s="109" t="str">
        <f>G78</f>
        <v xml:space="preserve">Дополнительная плата за чистку до дома 8 участков: 1,000 руб*8уч*5мес=40,000.**
</v>
      </c>
      <c r="I46" s="160"/>
      <c r="J46" s="160"/>
    </row>
    <row r="47" spans="1:10" ht="76.2" customHeight="1" x14ac:dyDescent="0.3">
      <c r="A47" s="104">
        <f t="shared" si="2"/>
        <v>24</v>
      </c>
      <c r="B47" s="156" t="s">
        <v>104</v>
      </c>
      <c r="C47" s="106" t="s">
        <v>69</v>
      </c>
      <c r="D47" s="106">
        <v>1</v>
      </c>
      <c r="E47" s="158">
        <f>25000*14+10000*10+3000+10000*14</f>
        <v>593000</v>
      </c>
      <c r="F47" s="108">
        <f>D47*E47</f>
        <v>593000</v>
      </c>
      <c r="G47" s="161" t="s">
        <v>105</v>
      </c>
      <c r="I47" s="110">
        <f>F47/M$2</f>
        <v>557.06381339771349</v>
      </c>
      <c r="J47" s="130"/>
    </row>
    <row r="48" spans="1:10" ht="225" customHeight="1" x14ac:dyDescent="0.3">
      <c r="A48" s="104">
        <f t="shared" si="2"/>
        <v>25</v>
      </c>
      <c r="B48" s="156" t="s">
        <v>106</v>
      </c>
      <c r="C48" s="106" t="s">
        <v>69</v>
      </c>
      <c r="D48" s="106">
        <v>1</v>
      </c>
      <c r="E48" s="158">
        <f>626000+941000</f>
        <v>1567000</v>
      </c>
      <c r="F48" s="108">
        <f>E48</f>
        <v>1567000</v>
      </c>
      <c r="G48" s="161" t="s">
        <v>107</v>
      </c>
      <c r="I48" s="130"/>
      <c r="J48" s="110">
        <f>F48/N$2</f>
        <v>878.73265105846065</v>
      </c>
    </row>
    <row r="49" spans="1:15" x14ac:dyDescent="0.3">
      <c r="A49" s="159">
        <f t="shared" si="2"/>
        <v>26</v>
      </c>
      <c r="B49" s="162" t="s">
        <v>108</v>
      </c>
      <c r="C49" s="163" t="s">
        <v>109</v>
      </c>
      <c r="D49" s="163">
        <v>4</v>
      </c>
      <c r="E49" s="164">
        <v>30000</v>
      </c>
      <c r="F49" s="108">
        <f>D49*E49</f>
        <v>120000</v>
      </c>
      <c r="G49" s="165" t="s">
        <v>110</v>
      </c>
      <c r="H49" s="40"/>
      <c r="I49" s="166">
        <f t="shared" ref="I49:I50" si="7">F49/O$2</f>
        <v>42.138382447959096</v>
      </c>
      <c r="J49" s="166">
        <f t="shared" ref="J49:J50" si="8">F49/O$2</f>
        <v>42.138382447959096</v>
      </c>
    </row>
    <row r="50" spans="1:15" ht="19.8" customHeight="1" thickBot="1" x14ac:dyDescent="0.35">
      <c r="A50" s="159">
        <f>A49+1</f>
        <v>27</v>
      </c>
      <c r="B50" s="167" t="s">
        <v>111</v>
      </c>
      <c r="C50" s="126" t="s">
        <v>61</v>
      </c>
      <c r="D50" s="126">
        <v>12</v>
      </c>
      <c r="E50" s="127">
        <v>2000</v>
      </c>
      <c r="F50" s="128">
        <f t="shared" si="3"/>
        <v>24000</v>
      </c>
      <c r="G50" s="129" t="s">
        <v>112</v>
      </c>
      <c r="I50" s="110">
        <f t="shared" si="7"/>
        <v>8.4276764895918195</v>
      </c>
      <c r="J50" s="110">
        <f t="shared" si="8"/>
        <v>8.4276764895918195</v>
      </c>
    </row>
    <row r="51" spans="1:15" s="40" customFormat="1" ht="15.6" thickTop="1" thickBot="1" x14ac:dyDescent="0.35">
      <c r="A51" s="168"/>
      <c r="B51" s="169"/>
      <c r="C51" s="170"/>
      <c r="D51" s="170"/>
      <c r="E51" s="171"/>
      <c r="F51" s="172">
        <f>SUM(F21:F50)</f>
        <v>7714070</v>
      </c>
      <c r="G51" s="173"/>
      <c r="I51" s="166">
        <f>SUM(I21:I50)</f>
        <v>3129.1470173074349</v>
      </c>
      <c r="J51" s="166">
        <f>SUM(J21:J50)</f>
        <v>2277.6849620670473</v>
      </c>
    </row>
    <row r="52" spans="1:15" ht="112.2" customHeight="1" thickTop="1" thickBot="1" x14ac:dyDescent="0.35">
      <c r="A52" s="174">
        <f>A50+1</f>
        <v>28</v>
      </c>
      <c r="B52" s="175" t="s">
        <v>113</v>
      </c>
      <c r="C52" s="176"/>
      <c r="D52" s="176"/>
      <c r="E52" s="177"/>
      <c r="F52" s="178">
        <f>(F51-F21-F22)*5%</f>
        <v>363244</v>
      </c>
      <c r="G52" s="179" t="s">
        <v>114</v>
      </c>
      <c r="I52" s="110">
        <f t="shared" ref="I52" si="9">F52/O$2</f>
        <v>127.55428828272045</v>
      </c>
      <c r="J52" s="110">
        <f t="shared" ref="J52" si="10">F52/O$2</f>
        <v>127.55428828272045</v>
      </c>
    </row>
    <row r="53" spans="1:15" ht="15" thickBot="1" x14ac:dyDescent="0.35">
      <c r="A53" s="180"/>
      <c r="B53" s="181"/>
      <c r="C53" s="182"/>
      <c r="D53" s="182"/>
      <c r="E53" s="183" t="s">
        <v>115</v>
      </c>
      <c r="F53" s="184">
        <f>SUM(F51:F52)</f>
        <v>8077314</v>
      </c>
      <c r="G53" s="185"/>
      <c r="I53" s="186">
        <f>SUM(I51:I52)</f>
        <v>3256.7013055901552</v>
      </c>
      <c r="J53" s="186">
        <f>SUM(J51:J52)</f>
        <v>2405.2392503497676</v>
      </c>
      <c r="L53" s="187"/>
      <c r="M53" s="187"/>
      <c r="N53" s="187"/>
      <c r="O53" s="188"/>
    </row>
    <row r="54" spans="1:15" x14ac:dyDescent="0.3">
      <c r="A54" s="189"/>
      <c r="B54" s="189"/>
      <c r="C54" s="66"/>
      <c r="D54" s="66"/>
      <c r="E54" s="65"/>
      <c r="F54" s="67"/>
      <c r="G54" s="18"/>
      <c r="I54" s="190"/>
      <c r="J54" s="191"/>
      <c r="O54" s="188"/>
    </row>
    <row r="55" spans="1:15" ht="18.600000000000001" thickBot="1" x14ac:dyDescent="0.35">
      <c r="A55" s="81" t="s">
        <v>116</v>
      </c>
      <c r="B55" s="81"/>
      <c r="C55" s="82"/>
      <c r="D55" s="82"/>
      <c r="E55" s="83"/>
      <c r="F55" s="67"/>
      <c r="G55" s="43"/>
    </row>
    <row r="56" spans="1:15" s="84" customFormat="1" ht="48" customHeight="1" thickBot="1" x14ac:dyDescent="0.35">
      <c r="A56" s="192" t="s">
        <v>36</v>
      </c>
      <c r="B56" s="193" t="s">
        <v>37</v>
      </c>
      <c r="C56" s="194" t="s">
        <v>117</v>
      </c>
      <c r="D56" s="194" t="s">
        <v>118</v>
      </c>
      <c r="E56" s="193" t="s">
        <v>119</v>
      </c>
      <c r="F56" s="195" t="s">
        <v>120</v>
      </c>
      <c r="G56" s="196" t="s">
        <v>42</v>
      </c>
      <c r="I56" s="197" t="s">
        <v>43</v>
      </c>
      <c r="J56" s="197" t="s">
        <v>43</v>
      </c>
    </row>
    <row r="57" spans="1:15" x14ac:dyDescent="0.3">
      <c r="A57" s="198">
        <v>28</v>
      </c>
      <c r="B57" s="199" t="s">
        <v>121</v>
      </c>
      <c r="C57" s="200" t="s">
        <v>69</v>
      </c>
      <c r="D57" s="201">
        <v>1</v>
      </c>
      <c r="E57" s="202">
        <v>25000</v>
      </c>
      <c r="F57" s="118">
        <f t="shared" ref="F57:F67" si="11">D57*E57</f>
        <v>25000</v>
      </c>
      <c r="G57" s="119" t="s">
        <v>122</v>
      </c>
      <c r="I57" s="110">
        <f t="shared" ref="I57:I67" si="12">F57/O$2</f>
        <v>8.7788296766581446</v>
      </c>
      <c r="J57" s="110">
        <f t="shared" ref="J57:J67" si="13">F57/O$2</f>
        <v>8.7788296766581446</v>
      </c>
    </row>
    <row r="58" spans="1:15" ht="28.8" x14ac:dyDescent="0.3">
      <c r="A58" s="203">
        <f>A57+1</f>
        <v>29</v>
      </c>
      <c r="B58" s="204" t="s">
        <v>123</v>
      </c>
      <c r="C58" s="205" t="s">
        <v>69</v>
      </c>
      <c r="D58" s="206">
        <v>1</v>
      </c>
      <c r="E58" s="207">
        <v>50000</v>
      </c>
      <c r="F58" s="118">
        <f t="shared" si="11"/>
        <v>50000</v>
      </c>
      <c r="G58" s="208" t="s">
        <v>124</v>
      </c>
      <c r="I58" s="110">
        <f t="shared" si="12"/>
        <v>17.557659353316289</v>
      </c>
      <c r="J58" s="110">
        <f t="shared" si="13"/>
        <v>17.557659353316289</v>
      </c>
    </row>
    <row r="59" spans="1:15" ht="28.8" x14ac:dyDescent="0.3">
      <c r="A59" s="198">
        <f t="shared" ref="A59:A69" si="14">A58+1</f>
        <v>30</v>
      </c>
      <c r="B59" s="199" t="s">
        <v>125</v>
      </c>
      <c r="C59" s="200" t="s">
        <v>69</v>
      </c>
      <c r="D59" s="201">
        <v>1</v>
      </c>
      <c r="E59" s="202">
        <v>50000</v>
      </c>
      <c r="F59" s="118">
        <f t="shared" si="11"/>
        <v>50000</v>
      </c>
      <c r="G59" s="119" t="s">
        <v>126</v>
      </c>
      <c r="I59" s="110">
        <f t="shared" si="12"/>
        <v>17.557659353316289</v>
      </c>
      <c r="J59" s="110">
        <f t="shared" si="13"/>
        <v>17.557659353316289</v>
      </c>
    </row>
    <row r="60" spans="1:15" x14ac:dyDescent="0.3">
      <c r="A60" s="198">
        <f t="shared" si="14"/>
        <v>31</v>
      </c>
      <c r="B60" s="199" t="s">
        <v>127</v>
      </c>
      <c r="C60" s="200" t="s">
        <v>69</v>
      </c>
      <c r="D60" s="201">
        <v>1</v>
      </c>
      <c r="E60" s="202">
        <v>25000</v>
      </c>
      <c r="F60" s="118">
        <f t="shared" si="11"/>
        <v>25000</v>
      </c>
      <c r="G60" s="119" t="s">
        <v>128</v>
      </c>
      <c r="I60" s="110">
        <f t="shared" si="12"/>
        <v>8.7788296766581446</v>
      </c>
      <c r="J60" s="110">
        <f t="shared" si="13"/>
        <v>8.7788296766581446</v>
      </c>
    </row>
    <row r="61" spans="1:15" x14ac:dyDescent="0.3">
      <c r="A61" s="198">
        <f t="shared" si="14"/>
        <v>32</v>
      </c>
      <c r="B61" s="199" t="s">
        <v>129</v>
      </c>
      <c r="C61" s="200" t="s">
        <v>69</v>
      </c>
      <c r="D61" s="201">
        <v>3</v>
      </c>
      <c r="E61" s="202">
        <v>10000</v>
      </c>
      <c r="F61" s="118">
        <f t="shared" si="11"/>
        <v>30000</v>
      </c>
      <c r="G61" s="119" t="s">
        <v>122</v>
      </c>
      <c r="I61" s="110">
        <f t="shared" si="12"/>
        <v>10.534595611989774</v>
      </c>
      <c r="J61" s="110">
        <f t="shared" si="13"/>
        <v>10.534595611989774</v>
      </c>
    </row>
    <row r="62" spans="1:15" x14ac:dyDescent="0.3">
      <c r="A62" s="198">
        <f t="shared" si="14"/>
        <v>33</v>
      </c>
      <c r="B62" s="199" t="s">
        <v>130</v>
      </c>
      <c r="C62" s="200" t="s">
        <v>54</v>
      </c>
      <c r="D62" s="201">
        <v>1</v>
      </c>
      <c r="E62" s="202">
        <v>100000</v>
      </c>
      <c r="F62" s="118">
        <f t="shared" si="11"/>
        <v>100000</v>
      </c>
      <c r="G62" s="119" t="s">
        <v>131</v>
      </c>
      <c r="I62" s="110">
        <f t="shared" si="12"/>
        <v>35.115318706632578</v>
      </c>
      <c r="J62" s="110">
        <f t="shared" si="13"/>
        <v>35.115318706632578</v>
      </c>
    </row>
    <row r="63" spans="1:15" ht="28.8" customHeight="1" x14ac:dyDescent="0.3">
      <c r="A63" s="198">
        <f t="shared" si="14"/>
        <v>34</v>
      </c>
      <c r="B63" s="199" t="s">
        <v>132</v>
      </c>
      <c r="C63" s="200" t="s">
        <v>54</v>
      </c>
      <c r="D63" s="201">
        <v>1</v>
      </c>
      <c r="E63" s="202">
        <v>100000</v>
      </c>
      <c r="F63" s="118">
        <f t="shared" si="11"/>
        <v>100000</v>
      </c>
      <c r="G63" s="119" t="s">
        <v>133</v>
      </c>
      <c r="I63" s="110">
        <f t="shared" si="12"/>
        <v>35.115318706632578</v>
      </c>
      <c r="J63" s="110">
        <f t="shared" si="13"/>
        <v>35.115318706632578</v>
      </c>
      <c r="K63" s="209"/>
    </row>
    <row r="64" spans="1:15" ht="28.8" customHeight="1" x14ac:dyDescent="0.3">
      <c r="A64" s="198">
        <f t="shared" si="14"/>
        <v>35</v>
      </c>
      <c r="B64" s="199" t="s">
        <v>134</v>
      </c>
      <c r="C64" s="200" t="s">
        <v>54</v>
      </c>
      <c r="D64" s="201">
        <v>1</v>
      </c>
      <c r="E64" s="202">
        <f>3*10000+25000+10000</f>
        <v>65000</v>
      </c>
      <c r="F64" s="118">
        <f t="shared" si="11"/>
        <v>65000</v>
      </c>
      <c r="G64" s="119" t="s">
        <v>135</v>
      </c>
      <c r="I64" s="110">
        <f t="shared" si="12"/>
        <v>22.824957159311175</v>
      </c>
      <c r="J64" s="110">
        <f t="shared" si="13"/>
        <v>22.824957159311175</v>
      </c>
      <c r="K64" s="209"/>
    </row>
    <row r="65" spans="1:15" ht="28.8" customHeight="1" x14ac:dyDescent="0.3">
      <c r="A65" s="198">
        <f t="shared" si="14"/>
        <v>36</v>
      </c>
      <c r="B65" s="199" t="s">
        <v>136</v>
      </c>
      <c r="C65" s="200" t="s">
        <v>54</v>
      </c>
      <c r="D65" s="201">
        <v>1</v>
      </c>
      <c r="E65" s="202">
        <v>30000</v>
      </c>
      <c r="F65" s="118">
        <f t="shared" si="11"/>
        <v>30000</v>
      </c>
      <c r="G65" s="119" t="s">
        <v>137</v>
      </c>
      <c r="I65" s="110">
        <f t="shared" si="12"/>
        <v>10.534595611989774</v>
      </c>
      <c r="J65" s="110">
        <f t="shared" si="13"/>
        <v>10.534595611989774</v>
      </c>
      <c r="K65" s="209"/>
    </row>
    <row r="66" spans="1:15" ht="28.8" customHeight="1" x14ac:dyDescent="0.3">
      <c r="A66" s="198">
        <f t="shared" si="14"/>
        <v>37</v>
      </c>
      <c r="B66" s="199" t="s">
        <v>138</v>
      </c>
      <c r="C66" s="200" t="s">
        <v>54</v>
      </c>
      <c r="D66" s="201">
        <v>3</v>
      </c>
      <c r="E66" s="202">
        <v>10000</v>
      </c>
      <c r="F66" s="118">
        <f t="shared" si="11"/>
        <v>30000</v>
      </c>
      <c r="G66" s="119" t="s">
        <v>139</v>
      </c>
      <c r="I66" s="110">
        <f t="shared" si="12"/>
        <v>10.534595611989774</v>
      </c>
      <c r="J66" s="110">
        <f t="shared" si="13"/>
        <v>10.534595611989774</v>
      </c>
      <c r="K66" s="209"/>
    </row>
    <row r="67" spans="1:15" ht="28.8" customHeight="1" x14ac:dyDescent="0.3">
      <c r="A67" s="198">
        <f t="shared" si="14"/>
        <v>38</v>
      </c>
      <c r="B67" s="199" t="s">
        <v>140</v>
      </c>
      <c r="C67" s="200" t="s">
        <v>54</v>
      </c>
      <c r="D67" s="201">
        <v>1</v>
      </c>
      <c r="E67" s="202">
        <v>50000</v>
      </c>
      <c r="F67" s="118">
        <f t="shared" si="11"/>
        <v>50000</v>
      </c>
      <c r="G67" s="119" t="s">
        <v>141</v>
      </c>
      <c r="I67" s="110">
        <f t="shared" si="12"/>
        <v>17.557659353316289</v>
      </c>
      <c r="J67" s="110">
        <f t="shared" si="13"/>
        <v>17.557659353316289</v>
      </c>
      <c r="K67" s="209"/>
    </row>
    <row r="68" spans="1:15" ht="47.4" customHeight="1" x14ac:dyDescent="0.3">
      <c r="A68" s="198">
        <f t="shared" si="14"/>
        <v>39</v>
      </c>
      <c r="B68" s="199" t="s">
        <v>142</v>
      </c>
      <c r="C68" s="200" t="s">
        <v>69</v>
      </c>
      <c r="D68" s="201">
        <v>1</v>
      </c>
      <c r="E68" s="202">
        <v>200000</v>
      </c>
      <c r="F68" s="118">
        <f>D68*E68</f>
        <v>200000</v>
      </c>
      <c r="G68" s="119" t="s">
        <v>143</v>
      </c>
      <c r="I68" s="110">
        <f>F68/O$2</f>
        <v>70.230637413265157</v>
      </c>
      <c r="J68" s="110">
        <f>F68/O$2</f>
        <v>70.230637413265157</v>
      </c>
    </row>
    <row r="69" spans="1:15" x14ac:dyDescent="0.3">
      <c r="A69" s="198">
        <f t="shared" si="14"/>
        <v>40</v>
      </c>
      <c r="B69" s="156" t="s">
        <v>144</v>
      </c>
      <c r="C69" s="106" t="s">
        <v>69</v>
      </c>
      <c r="D69" s="106">
        <v>1</v>
      </c>
      <c r="E69" s="158">
        <v>35000</v>
      </c>
      <c r="F69" s="108">
        <f t="shared" ref="F69" si="15">D69*E69</f>
        <v>35000</v>
      </c>
      <c r="G69" s="122" t="s">
        <v>145</v>
      </c>
      <c r="I69" s="110">
        <f>F69/O$2</f>
        <v>12.290361547321403</v>
      </c>
      <c r="J69" s="110">
        <f>F69/O$2</f>
        <v>12.290361547321403</v>
      </c>
    </row>
    <row r="70" spans="1:15" ht="15" thickBot="1" x14ac:dyDescent="0.35">
      <c r="A70" s="180"/>
      <c r="B70" s="181"/>
      <c r="C70" s="182"/>
      <c r="D70" s="182"/>
      <c r="E70" s="183" t="s">
        <v>146</v>
      </c>
      <c r="F70" s="184">
        <f>SUM(F57:F69)</f>
        <v>790000</v>
      </c>
      <c r="G70" s="210"/>
      <c r="I70" s="211">
        <f>SUM(I57:I69)</f>
        <v>277.41101778239744</v>
      </c>
      <c r="J70" s="211">
        <f>SUM(J57:J69)</f>
        <v>277.41101778239744</v>
      </c>
      <c r="L70" s="187"/>
      <c r="M70" s="187"/>
      <c r="N70" s="187"/>
      <c r="O70" s="188"/>
    </row>
    <row r="71" spans="1:15" x14ac:dyDescent="0.3">
      <c r="A71" s="16"/>
      <c r="B71" s="16"/>
      <c r="C71" s="15"/>
      <c r="D71" s="15"/>
      <c r="E71" s="16"/>
      <c r="F71" s="17"/>
      <c r="G71" s="18"/>
      <c r="I71" s="212">
        <f>I53+I70</f>
        <v>3534.1123233725525</v>
      </c>
      <c r="J71" s="212">
        <f>J53+J70</f>
        <v>2682.6502681321649</v>
      </c>
      <c r="L71" s="187"/>
      <c r="M71" s="187"/>
      <c r="N71" s="213"/>
      <c r="O71" s="187"/>
    </row>
    <row r="72" spans="1:15" ht="18" x14ac:dyDescent="0.3">
      <c r="A72" s="214"/>
      <c r="B72" s="214"/>
      <c r="C72" s="15"/>
      <c r="D72" s="215"/>
      <c r="E72" s="216" t="s">
        <v>147</v>
      </c>
      <c r="F72" s="217">
        <f>F53+F70</f>
        <v>8867314</v>
      </c>
      <c r="G72" s="18"/>
      <c r="H72" s="188"/>
    </row>
    <row r="73" spans="1:15" x14ac:dyDescent="0.3">
      <c r="A73" s="214"/>
      <c r="B73" s="214"/>
      <c r="C73" s="15"/>
      <c r="D73" s="15"/>
      <c r="E73" s="16"/>
      <c r="G73" s="18"/>
      <c r="I73" s="188"/>
      <c r="J73" s="188"/>
    </row>
    <row r="74" spans="1:15" ht="18.600000000000001" thickBot="1" x14ac:dyDescent="0.4">
      <c r="A74" s="218" t="s">
        <v>148</v>
      </c>
      <c r="I74" s="84" t="s">
        <v>149</v>
      </c>
      <c r="J74" s="219" t="s">
        <v>150</v>
      </c>
    </row>
    <row r="75" spans="1:15" ht="121.8" customHeight="1" thickTop="1" thickBot="1" x14ac:dyDescent="0.35">
      <c r="A75" s="220">
        <v>12</v>
      </c>
      <c r="B75" s="221" t="s">
        <v>151</v>
      </c>
      <c r="C75" s="222" t="s">
        <v>54</v>
      </c>
      <c r="D75" s="222">
        <v>1</v>
      </c>
      <c r="E75" s="223" t="s">
        <v>152</v>
      </c>
      <c r="F75" s="224">
        <f>(227000+2400*12)*1.1</f>
        <v>281380</v>
      </c>
      <c r="G75" s="225" t="s">
        <v>153</v>
      </c>
      <c r="I75" s="226">
        <v>58</v>
      </c>
      <c r="J75" s="227">
        <f>F75/I75/12</f>
        <v>404.28160919540232</v>
      </c>
      <c r="N75" s="213"/>
    </row>
    <row r="76" spans="1:15" ht="29.4" customHeight="1" thickTop="1" x14ac:dyDescent="0.3">
      <c r="A76" s="228" t="s">
        <v>154</v>
      </c>
      <c r="B76" s="228"/>
      <c r="C76" s="228"/>
      <c r="D76" s="228"/>
      <c r="E76" s="228"/>
      <c r="F76" s="228"/>
      <c r="G76" s="228"/>
      <c r="N76" s="213"/>
    </row>
    <row r="77" spans="1:15" x14ac:dyDescent="0.3">
      <c r="I77" s="84" t="s">
        <v>149</v>
      </c>
      <c r="J77" t="s">
        <v>155</v>
      </c>
      <c r="N77" s="213"/>
    </row>
    <row r="78" spans="1:15" ht="45" customHeight="1" x14ac:dyDescent="0.3">
      <c r="A78" s="229">
        <f>A45</f>
        <v>22</v>
      </c>
      <c r="B78" s="156" t="s">
        <v>156</v>
      </c>
      <c r="C78" s="157" t="s">
        <v>61</v>
      </c>
      <c r="D78" s="157">
        <v>5</v>
      </c>
      <c r="E78" s="158">
        <v>1000</v>
      </c>
      <c r="F78" s="108">
        <v>40000</v>
      </c>
      <c r="G78" s="109" t="s">
        <v>157</v>
      </c>
      <c r="I78" s="110">
        <v>8</v>
      </c>
      <c r="J78" s="227">
        <f>F78/I78/12</f>
        <v>416.66666666666669</v>
      </c>
      <c r="K78" s="230"/>
      <c r="N78" s="213"/>
    </row>
    <row r="79" spans="1:15" x14ac:dyDescent="0.3">
      <c r="A79" s="231" t="s">
        <v>158</v>
      </c>
      <c r="N79" s="187"/>
      <c r="O79" s="188"/>
    </row>
    <row r="80" spans="1:15" x14ac:dyDescent="0.3">
      <c r="G80" s="89"/>
    </row>
  </sheetData>
  <mergeCells count="25">
    <mergeCell ref="A72:B72"/>
    <mergeCell ref="A73:B73"/>
    <mergeCell ref="A76:G76"/>
    <mergeCell ref="J18:J20"/>
    <mergeCell ref="N21:N22"/>
    <mergeCell ref="A53:B53"/>
    <mergeCell ref="A54:B54"/>
    <mergeCell ref="A55:B55"/>
    <mergeCell ref="A70:B70"/>
    <mergeCell ref="L15:L16"/>
    <mergeCell ref="A17:B17"/>
    <mergeCell ref="A18:A20"/>
    <mergeCell ref="B18:B20"/>
    <mergeCell ref="C18:C20"/>
    <mergeCell ref="D18:D20"/>
    <mergeCell ref="E18:E20"/>
    <mergeCell ref="F18:F20"/>
    <mergeCell ref="G18:G20"/>
    <mergeCell ref="I18:I20"/>
    <mergeCell ref="A1:G1"/>
    <mergeCell ref="A2:G2"/>
    <mergeCell ref="A5:F5"/>
    <mergeCell ref="L8:L9"/>
    <mergeCell ref="P8:R9"/>
    <mergeCell ref="A12:G12"/>
  </mergeCells>
  <pageMargins left="0.25" right="0.25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ФЭО к смете 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2026-05-10T08:35:47Z</dcterms:created>
  <dcterms:modified xsi:type="dcterms:W3CDTF">2026-05-10T08:36:49Z</dcterms:modified>
</cp:coreProperties>
</file>