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Раздолье\ПРОТОКОЛЫ\Собрание 17.05.26_Протокол 13\ИТОГИ\"/>
    </mc:Choice>
  </mc:AlternateContent>
  <xr:revisionPtr revIDLastSave="0" documentId="13_ncr:1_{5FDC928E-EC10-40B0-80C2-C0EDBE2CA829}" xr6:coauthVersionLast="47" xr6:coauthVersionMax="47" xr10:uidLastSave="{00000000-0000-0000-0000-000000000000}"/>
  <bookViews>
    <workbookView xWindow="-108" yWindow="-108" windowWidth="23256" windowHeight="12576" tabRatio="640" xr2:uid="{101F1DDB-A055-46BB-9A90-660F25F73434}"/>
  </bookViews>
  <sheets>
    <sheet name="Смета 2026-2027" sheetId="7" r:id="rId1"/>
    <sheet name="ФЭО к смете 2026-2027" sheetId="4" r:id="rId2"/>
    <sheet name="1" sheetId="8" r:id="rId3"/>
    <sheet name="Индекс цен" sheetId="9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7" l="1"/>
  <c r="A67" i="4"/>
  <c r="A45" i="7"/>
  <c r="A43" i="7"/>
  <c r="A44" i="7"/>
  <c r="A59" i="4"/>
  <c r="A60" i="4" l="1"/>
  <c r="A61" i="4" s="1"/>
  <c r="B38" i="7" l="1"/>
  <c r="B37" i="7"/>
  <c r="A21" i="7"/>
  <c r="A22" i="7"/>
  <c r="A23" i="7"/>
  <c r="A24" i="7"/>
  <c r="A25" i="7"/>
  <c r="A49" i="7" s="1"/>
  <c r="A8" i="7"/>
  <c r="A39" i="4"/>
  <c r="A26" i="7" s="1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6" i="7"/>
  <c r="B27" i="7"/>
  <c r="B28" i="7"/>
  <c r="B29" i="7"/>
  <c r="B30" i="7"/>
  <c r="B31" i="7"/>
  <c r="B32" i="7"/>
  <c r="B33" i="7"/>
  <c r="B51" i="7" s="1"/>
  <c r="B34" i="7"/>
  <c r="B35" i="7"/>
  <c r="B36" i="7"/>
  <c r="B8" i="7"/>
  <c r="B42" i="7"/>
  <c r="B43" i="7"/>
  <c r="B44" i="7"/>
  <c r="B45" i="7"/>
  <c r="E29" i="4"/>
  <c r="E44" i="4"/>
  <c r="G46" i="4"/>
  <c r="E39" i="4"/>
  <c r="O14" i="4"/>
  <c r="V7" i="4" s="1"/>
  <c r="O13" i="4"/>
  <c r="V6" i="4" s="1"/>
  <c r="R14" i="4"/>
  <c r="R13" i="4"/>
  <c r="U14" i="4"/>
  <c r="U13" i="4"/>
  <c r="AA14" i="4"/>
  <c r="AA18" i="4" s="1"/>
  <c r="AA13" i="4"/>
  <c r="AA17" i="4" s="1"/>
  <c r="V13" i="4"/>
  <c r="V14" i="4"/>
  <c r="E47" i="4"/>
  <c r="F47" i="4" s="1"/>
  <c r="F24" i="4"/>
  <c r="C11" i="7" s="1"/>
  <c r="F8" i="9"/>
  <c r="F5" i="9"/>
  <c r="F4" i="9"/>
  <c r="F3" i="9"/>
  <c r="F10" i="9" s="1"/>
  <c r="F67" i="4"/>
  <c r="E48" i="4"/>
  <c r="F48" i="4" s="1"/>
  <c r="J48" i="4" s="1"/>
  <c r="E42" i="4"/>
  <c r="E43" i="4"/>
  <c r="F59" i="4"/>
  <c r="C43" i="7" s="1"/>
  <c r="D43" i="7" s="1"/>
  <c r="E33" i="4"/>
  <c r="A22" i="4"/>
  <c r="A9" i="7" s="1"/>
  <c r="D51" i="7"/>
  <c r="D50" i="7"/>
  <c r="B41" i="7"/>
  <c r="A41" i="7"/>
  <c r="A42" i="7" s="1"/>
  <c r="C35" i="7" l="1"/>
  <c r="E35" i="7" s="1"/>
  <c r="A40" i="4"/>
  <c r="E43" i="7"/>
  <c r="A41" i="4" l="1"/>
  <c r="A27" i="7"/>
  <c r="A58" i="4"/>
  <c r="C34" i="7"/>
  <c r="D34" i="7" s="1"/>
  <c r="F58" i="4"/>
  <c r="C42" i="7" s="1"/>
  <c r="A23" i="4"/>
  <c r="A10" i="7" s="1"/>
  <c r="F49" i="4"/>
  <c r="C36" i="7" s="1"/>
  <c r="E36" i="7" l="1"/>
  <c r="D36" i="7"/>
  <c r="E42" i="7"/>
  <c r="D42" i="7"/>
  <c r="A42" i="4"/>
  <c r="A28" i="7"/>
  <c r="A24" i="4"/>
  <c r="I47" i="4"/>
  <c r="F21" i="4"/>
  <c r="F23" i="4"/>
  <c r="C10" i="7" s="1"/>
  <c r="F60" i="4"/>
  <c r="C44" i="7" s="1"/>
  <c r="F27" i="4"/>
  <c r="C14" i="7" s="1"/>
  <c r="E45" i="4"/>
  <c r="W13" i="4"/>
  <c r="X13" i="4"/>
  <c r="X17" i="4" s="1"/>
  <c r="W14" i="4"/>
  <c r="X14" i="4"/>
  <c r="X18" i="4" s="1"/>
  <c r="A25" i="4" l="1"/>
  <c r="A11" i="7"/>
  <c r="E44" i="7"/>
  <c r="D44" i="7"/>
  <c r="F22" i="4"/>
  <c r="C9" i="7" s="1"/>
  <c r="C8" i="7"/>
  <c r="A43" i="4"/>
  <c r="A29" i="7"/>
  <c r="E10" i="7"/>
  <c r="D10" i="7"/>
  <c r="F33" i="4"/>
  <c r="C20" i="7" s="1"/>
  <c r="F43" i="4"/>
  <c r="C30" i="7" s="1"/>
  <c r="E30" i="7" s="1"/>
  <c r="F41" i="4"/>
  <c r="C28" i="7" s="1"/>
  <c r="F42" i="4"/>
  <c r="C29" i="7" s="1"/>
  <c r="D29" i="7" s="1"/>
  <c r="F25" i="4"/>
  <c r="F45" i="4"/>
  <c r="C32" i="7" s="1"/>
  <c r="E32" i="7" s="1"/>
  <c r="F44" i="4"/>
  <c r="C31" i="7" s="1"/>
  <c r="D31" i="7" s="1"/>
  <c r="F57" i="4"/>
  <c r="C41" i="7" s="1"/>
  <c r="E31" i="4"/>
  <c r="E28" i="7" l="1"/>
  <c r="D28" i="7"/>
  <c r="A44" i="4"/>
  <c r="A30" i="7"/>
  <c r="C12" i="7"/>
  <c r="A26" i="4"/>
  <c r="A12" i="7"/>
  <c r="E9" i="7"/>
  <c r="D9" i="7"/>
  <c r="D8" i="7"/>
  <c r="E8" i="7"/>
  <c r="I33" i="4"/>
  <c r="J43" i="4"/>
  <c r="I42" i="4"/>
  <c r="E12" i="7"/>
  <c r="D12" i="7"/>
  <c r="J45" i="4"/>
  <c r="I44" i="4"/>
  <c r="D41" i="7"/>
  <c r="E41" i="7"/>
  <c r="F38" i="4"/>
  <c r="F46" i="4"/>
  <c r="C33" i="7" s="1"/>
  <c r="E33" i="7" s="1"/>
  <c r="B38" i="4"/>
  <c r="B25" i="7" s="1"/>
  <c r="B49" i="7" s="1"/>
  <c r="F28" i="4"/>
  <c r="C15" i="7" s="1"/>
  <c r="F61" i="4"/>
  <c r="C45" i="7" s="1"/>
  <c r="O2" i="4"/>
  <c r="I24" i="4" l="1"/>
  <c r="J24" i="4"/>
  <c r="J25" i="4"/>
  <c r="A27" i="4"/>
  <c r="A13" i="7"/>
  <c r="A45" i="4"/>
  <c r="A31" i="7"/>
  <c r="E45" i="7"/>
  <c r="D45" i="7"/>
  <c r="C25" i="7"/>
  <c r="I25" i="4"/>
  <c r="I59" i="4"/>
  <c r="J59" i="4"/>
  <c r="E14" i="7"/>
  <c r="D14" i="7"/>
  <c r="I58" i="4"/>
  <c r="J58" i="4"/>
  <c r="I22" i="4"/>
  <c r="J22" i="4"/>
  <c r="I49" i="4"/>
  <c r="J49" i="4"/>
  <c r="I60" i="4"/>
  <c r="J60" i="4"/>
  <c r="I28" i="4"/>
  <c r="J28" i="4"/>
  <c r="J27" i="4"/>
  <c r="I27" i="4"/>
  <c r="J57" i="4"/>
  <c r="I41" i="4"/>
  <c r="I57" i="4"/>
  <c r="J41" i="4"/>
  <c r="J70" i="4"/>
  <c r="I61" i="4"/>
  <c r="J61" i="4"/>
  <c r="J67" i="4"/>
  <c r="J23" i="4"/>
  <c r="I23" i="4"/>
  <c r="J21" i="4"/>
  <c r="I21" i="4"/>
  <c r="F29" i="4"/>
  <c r="C16" i="7" s="1"/>
  <c r="O3" i="4"/>
  <c r="F50" i="4"/>
  <c r="C37" i="7" s="1"/>
  <c r="F40" i="4"/>
  <c r="C27" i="7" s="1"/>
  <c r="F39" i="4"/>
  <c r="C26" i="7" s="1"/>
  <c r="F37" i="4"/>
  <c r="F36" i="4"/>
  <c r="C23" i="7" s="1"/>
  <c r="F35" i="4"/>
  <c r="C22" i="7" s="1"/>
  <c r="F34" i="4"/>
  <c r="F32" i="4"/>
  <c r="C19" i="7" s="1"/>
  <c r="F31" i="4"/>
  <c r="C18" i="7" s="1"/>
  <c r="F30" i="4"/>
  <c r="C17" i="7" s="1"/>
  <c r="F26" i="4"/>
  <c r="C13" i="7" s="1"/>
  <c r="E46" i="7" l="1"/>
  <c r="E56" i="7" s="1"/>
  <c r="D46" i="7"/>
  <c r="D56" i="7" s="1"/>
  <c r="A46" i="4"/>
  <c r="A47" i="4" s="1"/>
  <c r="A32" i="7"/>
  <c r="E13" i="7"/>
  <c r="D13" i="7"/>
  <c r="D20" i="7"/>
  <c r="C21" i="7"/>
  <c r="D21" i="7" s="1"/>
  <c r="D27" i="7"/>
  <c r="E27" i="7"/>
  <c r="C46" i="7"/>
  <c r="D19" i="7"/>
  <c r="E19" i="7"/>
  <c r="D23" i="7"/>
  <c r="C24" i="7"/>
  <c r="D22" i="7"/>
  <c r="E22" i="7"/>
  <c r="D71" i="7"/>
  <c r="E51" i="7"/>
  <c r="E37" i="7"/>
  <c r="D37" i="7"/>
  <c r="O8" i="4"/>
  <c r="C70" i="7"/>
  <c r="E25" i="7"/>
  <c r="D25" i="7"/>
  <c r="A28" i="4"/>
  <c r="A14" i="7"/>
  <c r="E15" i="7"/>
  <c r="D15" i="7"/>
  <c r="E26" i="7"/>
  <c r="D26" i="7"/>
  <c r="E18" i="7"/>
  <c r="D18" i="7"/>
  <c r="D17" i="7"/>
  <c r="E17" i="7"/>
  <c r="D16" i="7"/>
  <c r="E16" i="7"/>
  <c r="E11" i="7"/>
  <c r="D11" i="7"/>
  <c r="I50" i="4"/>
  <c r="J50" i="4"/>
  <c r="O9" i="4"/>
  <c r="F51" i="4"/>
  <c r="F52" i="4" s="1"/>
  <c r="C38" i="7" s="1"/>
  <c r="F62" i="4"/>
  <c r="J62" i="4"/>
  <c r="I35" i="4"/>
  <c r="I39" i="4"/>
  <c r="J31" i="4"/>
  <c r="I31" i="4"/>
  <c r="I40" i="4"/>
  <c r="J40" i="4"/>
  <c r="I34" i="4"/>
  <c r="I29" i="4"/>
  <c r="J29" i="4"/>
  <c r="I32" i="4"/>
  <c r="J32" i="4"/>
  <c r="I36" i="4"/>
  <c r="I26" i="4"/>
  <c r="J26" i="4"/>
  <c r="I37" i="4"/>
  <c r="I30" i="4"/>
  <c r="J30" i="4"/>
  <c r="J35" i="4"/>
  <c r="J39" i="4"/>
  <c r="C39" i="7" l="1"/>
  <c r="A33" i="7"/>
  <c r="A51" i="7" s="1"/>
  <c r="A29" i="4"/>
  <c r="A15" i="7"/>
  <c r="E38" i="7"/>
  <c r="D38" i="7"/>
  <c r="D24" i="7"/>
  <c r="D39" i="7" s="1"/>
  <c r="D55" i="7" s="1"/>
  <c r="D58" i="7" s="1"/>
  <c r="E39" i="7"/>
  <c r="E55" i="7" s="1"/>
  <c r="E58" i="7" s="1"/>
  <c r="C47" i="7"/>
  <c r="I51" i="4"/>
  <c r="J51" i="4"/>
  <c r="I62" i="4"/>
  <c r="N7" i="4"/>
  <c r="D68" i="7" s="1"/>
  <c r="A30" i="4" l="1"/>
  <c r="A16" i="7"/>
  <c r="A48" i="4"/>
  <c r="A34" i="7"/>
  <c r="C55" i="7"/>
  <c r="C58" i="7" s="1"/>
  <c r="F53" i="4"/>
  <c r="F64" i="4" s="1"/>
  <c r="J52" i="4"/>
  <c r="J53" i="4" s="1"/>
  <c r="I52" i="4"/>
  <c r="I53" i="4" s="1"/>
  <c r="A70" i="4"/>
  <c r="N6" i="4"/>
  <c r="D67" i="7" s="1"/>
  <c r="A49" i="4" l="1"/>
  <c r="A35" i="7"/>
  <c r="A31" i="4"/>
  <c r="A17" i="7"/>
  <c r="M6" i="4"/>
  <c r="M7" i="4"/>
  <c r="J63" i="4"/>
  <c r="I63" i="4"/>
  <c r="A32" i="4" l="1"/>
  <c r="A18" i="7"/>
  <c r="C68" i="7"/>
  <c r="E68" i="7" s="1"/>
  <c r="C67" i="7"/>
  <c r="E67" i="7" s="1"/>
  <c r="A50" i="4"/>
  <c r="A36" i="7"/>
  <c r="O6" i="4"/>
  <c r="S6" i="4" s="1"/>
  <c r="O7" i="4"/>
  <c r="S7" i="4" s="1"/>
  <c r="A37" i="7" l="1"/>
  <c r="A52" i="4"/>
  <c r="A38" i="7" s="1"/>
  <c r="A33" i="4"/>
  <c r="A20" i="7" s="1"/>
  <c r="A19" i="7"/>
</calcChain>
</file>

<file path=xl/sharedStrings.xml><?xml version="1.0" encoding="utf-8"?>
<sst xmlns="http://schemas.openxmlformats.org/spreadsheetml/2006/main" count="268" uniqueCount="186">
  <si>
    <t>Членские взносы:</t>
  </si>
  <si>
    <t>№</t>
  </si>
  <si>
    <t>Целевые взносы:</t>
  </si>
  <si>
    <t>Статьи расходов</t>
  </si>
  <si>
    <t>Кол-во в год</t>
  </si>
  <si>
    <t>Руб./период</t>
  </si>
  <si>
    <t>месяц</t>
  </si>
  <si>
    <t>Налоги ФОТ</t>
  </si>
  <si>
    <t>Обслуживание р/с (банк), ЭЦП</t>
  </si>
  <si>
    <t>мес</t>
  </si>
  <si>
    <t>год</t>
  </si>
  <si>
    <t>Итого Членские взносы:</t>
  </si>
  <si>
    <t>Итого Целевые взносы:</t>
  </si>
  <si>
    <t>Комментарий в обоснование планируемого размера расхода</t>
  </si>
  <si>
    <t>Стоимость одной сотки в год</t>
  </si>
  <si>
    <t>1 оч</t>
  </si>
  <si>
    <t>2 оч</t>
  </si>
  <si>
    <t>Итого:</t>
  </si>
  <si>
    <t>шт</t>
  </si>
  <si>
    <t>эл-во адм зданий</t>
  </si>
  <si>
    <t>Оклад Председателя ТСН, включая НДФЛ 13%</t>
  </si>
  <si>
    <t>Ед.изм.</t>
  </si>
  <si>
    <t>Кол-во</t>
  </si>
  <si>
    <t>Офисные расходы</t>
  </si>
  <si>
    <t>Cотовая связь</t>
  </si>
  <si>
    <t>1-я очередь</t>
  </si>
  <si>
    <t>2-я очередь</t>
  </si>
  <si>
    <t> • Федеральным законом от 29.07.2017 № 217-ФЗ "О ведении гражданами садоводства и огородничества для собственных нужд и о внесении изменений в отдельные законодательные акты РФ"; </t>
  </si>
  <si>
    <t>ВЗНОСЫ:</t>
  </si>
  <si>
    <t>членский</t>
  </si>
  <si>
    <t>целевой</t>
  </si>
  <si>
    <t>2024-2025 (руб., сотка/год)</t>
  </si>
  <si>
    <t>В соответствии с законодательством РФ 30,2% ФОТ</t>
  </si>
  <si>
    <t>ВСЕГО расходов:</t>
  </si>
  <si>
    <t>расчетная</t>
  </si>
  <si>
    <t>Непредвиденные расходы</t>
  </si>
  <si>
    <t>Итого*:</t>
  </si>
  <si>
    <t>Услуги ассенизатора, химия</t>
  </si>
  <si>
    <t>Нотариальные услуги/регистрационные услуги</t>
  </si>
  <si>
    <t>Всего:</t>
  </si>
  <si>
    <t>Участков:</t>
  </si>
  <si>
    <t>Соток:</t>
  </si>
  <si>
    <t xml:space="preserve">В соответствии с фактическим расходом предыдущего периода (забор, шлагбаум-ворота, офис, площадка для мусора, гостевая парковка, детская площадка, озеро, пляж, мостки, хоз. нужды - триммер, инструмент, эл. автоматы, лампочки, бензин, леска для триммера, газ балоны). </t>
  </si>
  <si>
    <t>В соответствии с фактическим расходом предыдущего периода, но с корректировкой потенциальных нужд из-за увеличения документооборота и роста потребительских цен (офисная бумага, картридж для принтера, канцтовары и т.д.)</t>
  </si>
  <si>
    <t>Услуги Почты России</t>
  </si>
  <si>
    <t>Уборка снега 1-я очередь</t>
  </si>
  <si>
    <t>Распределением на участки с строениями (дом, бытовка). Учет не по соткам (см.ниже)</t>
  </si>
  <si>
    <t>участков</t>
  </si>
  <si>
    <t>стоимость/мес</t>
  </si>
  <si>
    <r>
      <t>Вывоз мусора</t>
    </r>
    <r>
      <rPr>
        <sz val="11"/>
        <color rgb="FFFF0000"/>
        <rFont val="Calibri"/>
        <family val="2"/>
        <charset val="204"/>
      </rPr>
      <t>*</t>
    </r>
  </si>
  <si>
    <t>цена/мес</t>
  </si>
  <si>
    <t xml:space="preserve">А также с учетом следующего: </t>
  </si>
  <si>
    <t>список участков см.ниже под табличной частью ФЭО</t>
  </si>
  <si>
    <t>Дополнительная составляющая платежей членских и целевых взносов с расчетом не от сотки, а от количества участков (подход Поставщиков услуг):</t>
  </si>
  <si>
    <t>эл-во уличное (1-я оч)</t>
  </si>
  <si>
    <t>Дополнительно</t>
  </si>
  <si>
    <t>Стоимость за ед/тариф, руб. (средн расчетн)</t>
  </si>
  <si>
    <t>Потери в эл. сетях (1-я оч)</t>
  </si>
  <si>
    <t>шт.</t>
  </si>
  <si>
    <t>Резерв (пополнение). Обслуживание трансформатора (1-я очередь)</t>
  </si>
  <si>
    <t>600КВт*8мес осень-весна + 400КВт*4мес весна-осень + доля потерь в сетях</t>
  </si>
  <si>
    <t>согласно счетов Мосэнергосбыт</t>
  </si>
  <si>
    <t>Уборка снега 2-я очередь по улицам к уч.99, 111 (120), 144 и уч.156</t>
  </si>
  <si>
    <t>Покос обочин</t>
  </si>
  <si>
    <t>Бухгалтерское обслуживание</t>
  </si>
  <si>
    <t>Ремонт дорог (ямочный) 1-я очередь</t>
  </si>
  <si>
    <t>Ремонт дорог (ямочный) 2-я очередь общая дорога (до уч 86(А)</t>
  </si>
  <si>
    <t>Замена ламп освещения</t>
  </si>
  <si>
    <t>Период/шт</t>
  </si>
  <si>
    <t>2025-2026 (руб., сотка/год)</t>
  </si>
  <si>
    <t>Уборка снега 2-я очередь по улицам к уч.99, 111 (120), 144, 156)**</t>
  </si>
  <si>
    <t xml:space="preserve">мес </t>
  </si>
  <si>
    <t>снег до уч 2-я оч, руб/мес</t>
  </si>
  <si>
    <t>мусор с уч, руб/мес</t>
  </si>
  <si>
    <t>Пополнение резерва на 50,000 (на случай мелкого ремонта, также может быть использовано в целях статьи 11). При существенной поломке будет открыт внеочередной сбор. Возможность пополнения резерва предусмотрена прошлогодней сметой 2024-2025: "При неизрасходовании будет формирование резерва в учете - при отсутствии ремонта в текущем году, сумма в новой смете участвовать либо не будет, либо будет продолжено накопление по этой статье."</t>
  </si>
  <si>
    <t>до 5% стоимости товаров и услуг, входящих в членские взносы (Непредвиденные расходы: не учтенные в вышеизложенных статьях расходы, возникновение которых может быть обусловлено удорожанием цен работ и услуг (в т.ч. связанным с инфляцией), затратами, связанными с изменением законодательства, решением властей различного уровня, возможными штрафами, решениями суда, услугами адвоката для представления интересов ТСН в суде (в случае превышения минимально необходимых расходов, согласно статей сметы); с аварийными работами и устранением различных повреждений.</t>
  </si>
  <si>
    <t>Обслуживание домена</t>
  </si>
  <si>
    <t>Согласно расценок оператора (включяет ежемесячные платежи + годовой)</t>
  </si>
  <si>
    <t>Адвокат (судебные дела + суды с должниками)</t>
  </si>
  <si>
    <t>требование лесника и пожарной охраны (построены ДПК Раздолье)</t>
  </si>
  <si>
    <t>ПП 1С.Садовод</t>
  </si>
  <si>
    <t>Земельный налог</t>
  </si>
  <si>
    <t>квартал</t>
  </si>
  <si>
    <t>Квартальные платежи</t>
  </si>
  <si>
    <t xml:space="preserve">    14.1</t>
  </si>
  <si>
    <t xml:space="preserve">    14.2</t>
  </si>
  <si>
    <t xml:space="preserve">    14.3</t>
  </si>
  <si>
    <t>14.4.</t>
  </si>
  <si>
    <t>25,000/мес на руки, т.е. оклад 28,750 вкл. НДФЛ 13%
28,750*1,15*12 мес
Оклад определен исходя из фактических трудозатрат, по нижней границе сложившейся в других ТСН практики и исходя из текущего количества освоенных участков ТСН (ок.100 уч)</t>
  </si>
  <si>
    <t>№ статьи</t>
  </si>
  <si>
    <t>Наименование статьи</t>
  </si>
  <si>
    <t>Сумма (руб.)</t>
  </si>
  <si>
    <t>Источник финансирования</t>
  </si>
  <si>
    <t>ДОХОДЫ (планируемые поступления согласно ФЭО)</t>
  </si>
  <si>
    <t>Членские взносы (распределением с сотки)</t>
  </si>
  <si>
    <t>Целевые взносы (распределением с сотки)</t>
  </si>
  <si>
    <t>NA</t>
  </si>
  <si>
    <t>Итого доходов:</t>
  </si>
  <si>
    <t>РАСХОДЫ</t>
  </si>
  <si>
    <t>Членские взносы</t>
  </si>
  <si>
    <t>Целевые взносы</t>
  </si>
  <si>
    <t>в т.ч. расшифровка к статьям сметы:</t>
  </si>
  <si>
    <t>участков, шт</t>
  </si>
  <si>
    <t>1 очередь</t>
  </si>
  <si>
    <t>2 очередь</t>
  </si>
  <si>
    <t>Дополнительно из расчета за участок/мес:</t>
  </si>
  <si>
    <t>мусор</t>
  </si>
  <si>
    <t>снег до уч</t>
  </si>
  <si>
    <t>На взносы, не оплаченные своевременно, могут начисляться пени согласно порядка, изложенного в Уставе ТСН "Раздолье" от 30.04.2023.</t>
  </si>
  <si>
    <t>                      Секретарь собрания ТСН:           ___________/ Магдий О.А. /</t>
  </si>
  <si>
    <t>                                                                                                                   Утверждена очередным очным общим собранием ТСН "Раздолье"</t>
  </si>
  <si>
    <t>подлежит включению в квитанции 58 участков (перечень выше) - часть членского взноса</t>
  </si>
  <si>
    <t>Настоящее финансово-экономическое обоснование является неотъемлемой частью приходно-расходной сметы ТСН "Раздолье" на 2026-2027 год, подготовлено в соответствии с:</t>
  </si>
  <si>
    <t>Финансово-экономическое обоснование расходной части сметы ТСН "Раздолье" на 2026-2027 (с 01.05.26-30.04.27)</t>
  </si>
  <si>
    <t> • Конъюнктурного анализа цен на товары и услуги по итогам расходов за 2025-2026 год. </t>
  </si>
  <si>
    <t>• Анализом хозяйственной деятельности ТСН "Раздолье" за 2025-2026 год;</t>
  </si>
  <si>
    <t xml:space="preserve">Большая часть собственников 2-й очереди не вышли на связь с Правлением, не предоставили документы о праве собственности и контактные данные, участки не освоены, являются неплательщиками </t>
  </si>
  <si>
    <t>взносов с момента появления права собственности на земельные участки, нет возможности узнать их потребности.</t>
  </si>
  <si>
    <t>Услуги консьержа</t>
  </si>
  <si>
    <t>подписка ПП 1С.Садовод Фреш + сдача отчетности (приобретение доступа к облачному ресурсу). Стоимость в год</t>
  </si>
  <si>
    <r>
      <t xml:space="preserve">Функционал аутсорсинговой компании сильно ограничен, ранее включенные стоимости услуг в сметы прошлых лет (2024-2026) не покрывали полного объема услуг по ведению бухучета. Правление в целях экономии самостоятельно выполняло порядка 50% объема бухгалтерских услуг, включяая подготовку платежных поручений, работу в Сбербизнес-он лайн, учет актов оказанных услуг, авансовых отчетов, сдачу статистической отчетности и т.д. 
Было заложено в смету 2024-2025 по 15,000/мес.
Планируется отказ от дальнейшей работы с ИП Акимова, и переход на взаимодействие с бухгалтером. Цена услуг бухгалтера по ведению учета 30,000 
</t>
    </r>
    <r>
      <rPr>
        <i/>
        <sz val="11"/>
        <color rgb="FFFF0000"/>
        <rFont val="Calibri"/>
        <family val="2"/>
        <charset val="204"/>
      </rPr>
      <t>В случае перерасхода/экономии по статьям затрат бюджет сметы может быть перераспределен с детальным подтверждением перераспределения</t>
    </r>
  </si>
  <si>
    <t>Увеличено с 4500/мес в связи с ростом тарифов и ожидаемым ростом количества банковских операций</t>
  </si>
  <si>
    <r>
      <t xml:space="preserve">фонари 1-я очередь - в целях экономии </t>
    </r>
    <r>
      <rPr>
        <b/>
        <i/>
        <sz val="11"/>
        <rFont val="Calibri"/>
        <family val="2"/>
        <charset val="204"/>
      </rPr>
      <t xml:space="preserve">подрядчик вызывает при перегорании не менее 4-х ламп, </t>
    </r>
    <r>
      <rPr>
        <i/>
        <sz val="11"/>
        <rFont val="Calibri"/>
        <family val="2"/>
        <charset val="204"/>
      </rPr>
      <t xml:space="preserve">что даст плановую стоимость 1 фонарь 15,000. Закладывается замена 20 ламп. 
</t>
    </r>
    <r>
      <rPr>
        <b/>
        <i/>
        <sz val="11"/>
        <rFont val="Calibri"/>
        <family val="2"/>
        <charset val="204"/>
      </rPr>
      <t>В целях экономии для следующих лет,</t>
    </r>
    <r>
      <rPr>
        <i/>
        <sz val="11"/>
        <rFont val="Calibri"/>
        <family val="2"/>
        <charset val="204"/>
      </rPr>
      <t xml:space="preserve"> по опыту соседних поселков, возможен переход от ламп на дуге к лампам в верхней части столба (в основании дуги) с тем, чтоб замену осуществлять без вызова люльки-крана, при этом при первой замене будет повышенный расход на приобретение и монтаж другого типа фонаря</t>
    </r>
  </si>
  <si>
    <t>Услуги 2024-2025 7500руб. Заложен рост услуг подрядчика + химия для выгребных ям</t>
  </si>
  <si>
    <t>30000руб*3 раза/год (трактором). Покос включает обочины основных дорог (круговая 1-й очереди, основная 2-й очереди вдоль трансформатора)</t>
  </si>
  <si>
    <t>Согласно тарифа МТС и фактического потребления услуг связи прошлого 2025-2026г.</t>
  </si>
  <si>
    <t>освещение</t>
  </si>
  <si>
    <t>в целях возможности въезда/выезда в ТСН по звонку</t>
  </si>
  <si>
    <t>2026-2027 (руб., сотка/год)</t>
  </si>
  <si>
    <t>48,000 гравий 3 машины с доставкой + пропитка асфальтная 3,500*5 + 15000 аренда техники + рабочие 20,000</t>
  </si>
  <si>
    <t>48,000 крошка 3 машины с доставкой + пропитка асфальтная 3,500*5 + 15000 аренда техники + рабочие 20,000</t>
  </si>
  <si>
    <t>Ливневки 1-я очередь</t>
  </si>
  <si>
    <t>Ремонт дороги 2-я очередь (отсыпка щебнем)</t>
  </si>
  <si>
    <t>Справочно рост тарифов:</t>
  </si>
  <si>
    <t>аренда контейнера</t>
  </si>
  <si>
    <t>НДС</t>
  </si>
  <si>
    <t>рост, %</t>
  </si>
  <si>
    <t>электричество</t>
  </si>
  <si>
    <t>бухгалтерия</t>
  </si>
  <si>
    <t>консьерж</t>
  </si>
  <si>
    <t>средний рост за 2 года, %</t>
  </si>
  <si>
    <r>
      <rPr>
        <sz val="11"/>
        <color rgb="FFFF0000"/>
        <rFont val="Aptos Narrow"/>
        <family val="2"/>
        <scheme val="minor"/>
      </rPr>
      <t>**</t>
    </r>
    <r>
      <rPr>
        <sz val="11"/>
        <color theme="1"/>
        <rFont val="Aptos Narrow"/>
        <family val="2"/>
        <charset val="204"/>
        <scheme val="minor"/>
      </rPr>
      <t>подлежит включению в квитанции 8 участков доп оплата за снег: 87, 89, 93, 99, 111 (120), 133, 144, 156. При постройке новых домов будет расширен перечень участков, оплачивающих чистку до участка</t>
    </r>
  </si>
  <si>
    <t>Сумма, руб.
 2026-2027</t>
  </si>
  <si>
    <t>Работы по поселку</t>
  </si>
  <si>
    <r>
      <t>Дополнительная плата за чистку до дома 8 участков: 1,000 руб*8уч*5мес=40,000.</t>
    </r>
    <r>
      <rPr>
        <i/>
        <sz val="11"/>
        <color rgb="FFFF0000"/>
        <rFont val="Calibri"/>
        <family val="2"/>
        <charset val="204"/>
      </rPr>
      <t>**</t>
    </r>
    <r>
      <rPr>
        <i/>
        <sz val="11"/>
        <rFont val="Calibri"/>
        <family val="2"/>
        <charset val="204"/>
      </rPr>
      <t xml:space="preserve">
</t>
    </r>
  </si>
  <si>
    <t>2023-2024 (руб., сотка/год)</t>
  </si>
  <si>
    <t>2022-2023 (руб., сотка/год)</t>
  </si>
  <si>
    <t>2020-2022 (руб., сотка/год)</t>
  </si>
  <si>
    <t>В соответствии с суммой в ежемесячном счете Мосэнергосбыт (порядка 45,000/мес лето, 80,000 зима). Правление в процессе передачи сетей в Россети, что в будущем минимизирует расход</t>
  </si>
  <si>
    <t>Было заложено 12,000/мес, при цене исполнителя 16,000. 15,000/чистка * 4 раз в мес</t>
  </si>
  <si>
    <r>
      <t>Чистка в т.ч.:
Чистка общей дороги: 10,000*4 раз в мес*5мес=</t>
    </r>
    <r>
      <rPr>
        <b/>
        <i/>
        <sz val="11"/>
        <color rgb="FFFF0000"/>
        <rFont val="Calibri"/>
        <family val="2"/>
        <charset val="204"/>
      </rPr>
      <t>200,000</t>
    </r>
    <r>
      <rPr>
        <i/>
        <sz val="11"/>
        <rFont val="Calibri"/>
        <family val="2"/>
        <charset val="204"/>
      </rPr>
      <t xml:space="preserve">
Общая дорога от въезда в ТСН до уч 86(А) оплачивается всеми собственниками 2-й очереди, далее по улицам оплачивают участки, имеющие строения ст.23 сметы). </t>
    </r>
  </si>
  <si>
    <t>Оплата услуг Почты России в связи с предстоящими судами против должников. Количество участков установлено с учетом текущих собственников неплательщиков, а также предыдущих собственников неплательщиков. Указанная сумма может быть использована при необходимости в целях ст. 8,9,10 т.к. все эти статьи нацелены на повышение собираемости взносов, а следовательно снижение тарифа взноса в последующем при сборе долгов прошлых периодов</t>
  </si>
  <si>
    <t>Договорная стоимость определена исходя из трудозатрат и сложившейся в других ТСН практики</t>
  </si>
  <si>
    <t>Хоз. нужды, инвентарь</t>
  </si>
  <si>
    <t xml:space="preserve">работы по поселку (Текущий ремонт и организация работ по обслуживанию объектов ТСН; Прочистка ливневок - оперативный ремонт; Покос и обслуживание въездной зоны, детской площадки и др.зон; организация оперативных работ по ТСН и поручений правления). </t>
  </si>
  <si>
    <t>расчет оплаты за работу с одним должником: оплата производится поэтапно (этапы 1-4), в случае если какой то из этапов не наступает или пропускается, то такой этап оплате не подлежит. Оплата каждого договоренного этапа может производится как единоразово, так и с ежемесячной рассрочкой на срок не более 1 года. 
1 Этап. Досудебная работа 
2-3 Этап. Судебное производство
4 Этап. Исковое производство 
Указанная сумма может быть использована при необходимости в целях ст. 8, 9,10, т.к. все эти статьи нацелены на повышение собираемости взносов, а следовательно снижение тарифа взноса в последующем при сборе долгов прошлых периодов</t>
  </si>
  <si>
    <t>Оплата услуг и госпошлин для получения данных собственников (порядка 200 участков, т.к. скрытые собственники перепродают участки, новые собственники которых, также не выходят на связь (цель: поддержание рееста собственников в актуальном состоянии в т.ч.для судов против должников): 153 уч на 2-й очереди, минус ок. 16 постоянных собственников, плюс 3 сомнительных на первой очереди = 140 уч. Минус массовые 40 уч. Расчет исходя: 700*100 уч.=70,000. 
Указанная сумма может быть использована при необходимости в целях ст. 8,9,10, т.к. все эти статьи нацелены на повышение собираемости взносов, а следовательно снижение тарифа взноса в последующем при сборе долгов прошлых периодов</t>
  </si>
  <si>
    <t>рост к прошлому году, %</t>
  </si>
  <si>
    <t>!! 6 лет без повышения взносов</t>
  </si>
  <si>
    <t>рост по инфляции не учтенный с 2020 (6 лет по 10%)</t>
  </si>
  <si>
    <t>Повышение взносов на порядка 50% вызвано ростом потребительских цен, увеличением ставки НДС, отсутствием индексации взносов на протяжении 6 лет с 2020г.</t>
  </si>
  <si>
    <t>Сумма, руб.
2026-2027</t>
  </si>
  <si>
    <t>Расчет произведен на основе:
1. ДС с тарифами на 2026 к договору с подрядной организацией + 10% роста тирифа с 2026
2. Договор аренды контейнера - 1,200/1шт/мес (рост цены)
3. Согласно решения ВС РФ вывоз мусора распределен на участки со строениями https://www.vsrf.ru/press_center/mass_media/31435/?ysclid=m01iscw91u504654446   (предполагается, что будет отдельной строкой в квитанции)</t>
  </si>
  <si>
    <t>Приходно-расходная смета ТСН "Раздолье" 2026-2027 (01.05.2026-30.04.2027)</t>
  </si>
  <si>
    <t>                                                                                                             Протокол №13 от 17.05.2026</t>
  </si>
  <si>
    <t>**подлежит включению в квитанции 8 участков доп оплата за снег: 87, 89, 93, 99, 111 (120), 133, 144, 156. При постройке новых домов будет расширен перечень участков, оплачивающих чистку до участка</t>
  </si>
  <si>
    <t>                      Председатель собрания ТСН:        ____________/ Вавилова А.В. /</t>
  </si>
  <si>
    <t>Демонтаж рыбацких домиков на озере</t>
  </si>
  <si>
    <t>Система автоматического открывания ворот</t>
  </si>
  <si>
    <t>Утверждено Решением № 13 очередного общего собрания от 17.05.2026</t>
  </si>
  <si>
    <t>СПРАВОЧНО динамика установления взносов 2020-2025:</t>
  </si>
  <si>
    <t>подлежит включению в квитанции 8 участков (перечень выше) - часть членского взноса</t>
  </si>
  <si>
    <r>
      <t>Задолженность по взносам за период до 2024 (</t>
    </r>
    <r>
      <rPr>
        <i/>
        <sz val="11"/>
        <color rgb="FF000000"/>
        <rFont val="Calibri"/>
        <family val="2"/>
        <charset val="204"/>
      </rPr>
      <t>в настоящей смете не определена, т.к. восстанавливается бух. учет до 01.05.2024</t>
    </r>
    <r>
      <rPr>
        <sz val="11"/>
        <color rgb="FF000000"/>
        <rFont val="Calibri"/>
        <family val="2"/>
        <charset val="204"/>
      </rPr>
      <t>)</t>
    </r>
  </si>
  <si>
    <t xml:space="preserve">Установлены взносы на годовой период 2026-2027 в следующем размере: </t>
  </si>
  <si>
    <t>Объекты целевой инфраструктуры</t>
  </si>
  <si>
    <t>Ремонт и содержание объектов</t>
  </si>
  <si>
    <t xml:space="preserve">Песок 3 машины по 25,000 + доставка 3,500+25,000 работа трактора=100,000; ремонт трубы ливневой от уч.7-8: трубы 3 * 10,000 + работа трактора 25,000 * 1 смена + рабочие 1 смена 10,000=65,000; Вагон консьержа: полы, утепление, облицовка, покраска и др. (помещение консьержа)* Покраска, внутренний ремонт, вывоз мусора, уборка, рабочее место (адм помещение) =200,000; песок (гололед) 1 машина 25000 + 5000 доставка + 5000 работы=35000
</t>
  </si>
  <si>
    <t>Освещение парковки/детской площадки</t>
  </si>
  <si>
    <t>Запрос жителей: раздевалка 25,000; велосипед для объезда территории вахтером 25,000; лежаки 3*10,000; Теннисный стол, брусья, ворота футбольные и др. 100,000; печь-буржуйка, монтаж дымохода адм. здание + ремонт в вагоне консьержа 50,000; ноутбук 50,000</t>
  </si>
  <si>
    <t>*подлежит включению в квитанции 58 участков №№: 1, 2, 3, 4, 7, 12, 13, 14, 15, 19, 20, 22, 23, 24, 25 (26), 30, 32, 34, 35, 36, 37, 39, 40, 41, 42, 43, 45, 48, 49, 50, 52, 53, 55, 56, 57, 58, 61, 62, 64, 65, 66, 67, 68, 71, 73, 76, 82, 243, 87, 89, 93, 99, 101, 111 (120), 144, 155, 156. При постройке новых домов будет расширен перечень участков, оплачивающих мусор</t>
  </si>
  <si>
    <t xml:space="preserve">Уборка снега 2-я очередь (общая дорога до уч 86(А) </t>
  </si>
  <si>
    <r>
      <t xml:space="preserve">В связи с запросом инициативной группы 2-й очереди к собранию 09.25 и отсутствием кворума на собрании, статья включена в текущую смету с распределением расхода в течение года (в смету 09.25 было предложен разовый сбор с тем, чтоб выполнить работы осенью 2025). Текущая смета позволяет выполнить сбор и выполнить работы по факту сбора всей заложенной суммы.
Цены:  1 камаз 48,000 щебень с доставкой, работа трактора 25,000 смена * 2 смены, работа рабочих 10,000 смена * 2 смены
1 уч: от КПП до уч 90 - 1 камаз (учтена в ст.20 ФЭО). 
2 уч: от перекрестка уч 85 и уч 90 до уч 96 - 3 камаза
3уч: от уч 96 до уч 98 - 1 камаз
4 уч: от уч 96 через 105 до 101 - 2 камаза
5 уч: от перекрестка 105-126 через уч 134 до уч 131 - 4 камаза
6 уч: от перекрестка перед уч 86 до уч 144 далее до уч 169, перекрестки 141-146 и 167-172
участки 2-5:  626,000 руб.; уч 6 + другие: 941,000 руб.
</t>
    </r>
    <r>
      <rPr>
        <b/>
        <i/>
        <sz val="11"/>
        <rFont val="Calibri"/>
        <family val="2"/>
        <charset val="204"/>
      </rPr>
      <t>Ответственный за проведение работ: Пронин В.В. (участок 131)</t>
    </r>
    <r>
      <rPr>
        <i/>
        <sz val="11"/>
        <rFont val="Calibri"/>
        <family val="2"/>
        <charset val="204"/>
      </rPr>
      <t xml:space="preserve">
</t>
    </r>
  </si>
  <si>
    <r>
      <t xml:space="preserve">Смена работы трактора 25,000 руб. Трубы 10 шт. по 10,000 руб. + доставка 3,000 руб. Рабочие 10,000 руб. смена.  
Из расчета работ в течение 2 недель + 10% запас при неучтенной сложности работ, необходимости дополнительных материалов. 
</t>
    </r>
    <r>
      <rPr>
        <b/>
        <i/>
        <sz val="11"/>
        <rFont val="Calibri"/>
        <family val="2"/>
        <charset val="204"/>
      </rPr>
      <t>Ответственный за проведение работ: Председатель ТСН</t>
    </r>
  </si>
  <si>
    <r>
      <rPr>
        <sz val="11"/>
        <color rgb="FFFF0000"/>
        <rFont val="Aptos Narrow"/>
        <family val="2"/>
        <scheme val="minor"/>
      </rPr>
      <t>*</t>
    </r>
    <r>
      <rPr>
        <sz val="11"/>
        <color theme="1"/>
        <rFont val="Aptos Narrow"/>
        <family val="2"/>
        <scheme val="minor"/>
      </rPr>
      <t>подлежит включению в квитанции 58 участков №№: 1, 2, 3, 4, 7, 12, 13, 14, 15, 19, 20, 22, 23, 24, 25 (26), 30, 32, 34, 35, 36, 37, 39, 40, 41, 42, 43, 45, 48, 49, 50, 52, 53, 55, 56, 57, 58, 61, 62, 64, 65, 66, 67, 68, 71, 73, 76, 82, 243, 87, 89, 93, 99, 101, 111 (120), 144, 155, 156. При постройке новых домов будет расширен перечень участков, оплачивающих мусор</t>
    </r>
  </si>
  <si>
    <t>Итого расходов (целевых взносов):</t>
  </si>
  <si>
    <t>Итого расходов (членских взносов):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</si>
</sst>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_-* #,##0.00_р_._-;\-* #,##0.00_р_._-;_-* &quot;-&quot;??_р_._-;_-@_-"/>
  </numFmts>
  <fonts count="47" x14ac:knownFonts="1">
    <font>
      <sz val="11"/>
      <color theme="1"/>
      <name val="Aptos Narrow"/>
      <family val="2"/>
      <charset val="204"/>
      <scheme val="minor"/>
    </font>
    <font>
      <i/>
      <sz val="11"/>
      <color rgb="FF000000"/>
      <name val="Calibri"/>
      <family val="2"/>
      <charset val="204"/>
    </font>
    <font>
      <b/>
      <i/>
      <sz val="11"/>
      <color rgb="FFFF0000"/>
      <name val="Calibri"/>
      <family val="2"/>
      <charset val="204"/>
    </font>
    <font>
      <b/>
      <sz val="11"/>
      <color rgb="FFFF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i/>
      <sz val="9"/>
      <color rgb="FF000000"/>
      <name val="Arial"/>
      <family val="2"/>
      <charset val="204"/>
    </font>
    <font>
      <b/>
      <i/>
      <sz val="11"/>
      <name val="Calibri"/>
      <family val="2"/>
      <charset val="204"/>
    </font>
    <font>
      <sz val="14"/>
      <color rgb="FF000000"/>
      <name val="Calibri"/>
      <family val="2"/>
      <charset val="204"/>
    </font>
    <font>
      <b/>
      <sz val="11"/>
      <color theme="1"/>
      <name val="Aptos Narrow"/>
      <family val="2"/>
      <scheme val="minor"/>
    </font>
    <font>
      <i/>
      <sz val="11"/>
      <color rgb="FFFF0000"/>
      <name val="Calibri"/>
      <family val="2"/>
      <charset val="204"/>
    </font>
    <font>
      <i/>
      <sz val="11"/>
      <color theme="1"/>
      <name val="Aptos Narrow"/>
      <family val="2"/>
      <scheme val="minor"/>
    </font>
    <font>
      <b/>
      <sz val="14"/>
      <color rgb="FFFF0000"/>
      <name val="Calibri"/>
      <family val="2"/>
      <charset val="204"/>
    </font>
    <font>
      <b/>
      <sz val="11"/>
      <color theme="1"/>
      <name val="Aptos Narrow"/>
      <family val="2"/>
      <charset val="204"/>
      <scheme val="minor"/>
    </font>
    <font>
      <b/>
      <sz val="11"/>
      <name val="Calibri"/>
      <family val="2"/>
      <charset val="204"/>
    </font>
    <font>
      <b/>
      <sz val="11"/>
      <color rgb="FFFF0000"/>
      <name val="Aptos Narrow"/>
      <family val="2"/>
      <scheme val="minor"/>
    </font>
    <font>
      <sz val="14"/>
      <color theme="1"/>
      <name val="Aptos"/>
      <family val="2"/>
    </font>
    <font>
      <sz val="11"/>
      <color rgb="FFFF0000"/>
      <name val="Aptos"/>
      <family val="2"/>
    </font>
    <font>
      <sz val="8"/>
      <name val="Aptos Narrow"/>
      <family val="2"/>
      <charset val="204"/>
      <scheme val="minor"/>
    </font>
    <font>
      <sz val="11"/>
      <color rgb="FFFF0000"/>
      <name val="Calibri"/>
      <family val="2"/>
      <charset val="204"/>
    </font>
    <font>
      <sz val="11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Calibri"/>
      <family val="2"/>
      <charset val="204"/>
    </font>
    <font>
      <sz val="11"/>
      <name val="Aptos"/>
      <family val="2"/>
    </font>
    <font>
      <sz val="11"/>
      <color theme="1"/>
      <name val="Aptos Narrow"/>
      <family val="2"/>
      <charset val="204"/>
      <scheme val="minor"/>
    </font>
    <font>
      <sz val="11"/>
      <name val="Aptos Narrow"/>
      <family val="2"/>
      <charset val="204"/>
      <scheme val="minor"/>
    </font>
    <font>
      <b/>
      <i/>
      <sz val="11"/>
      <color theme="1"/>
      <name val="Aptos Narrow"/>
      <family val="2"/>
      <charset val="204"/>
      <scheme val="minor"/>
    </font>
    <font>
      <b/>
      <sz val="10"/>
      <color rgb="FF000000"/>
      <name val="Calibri"/>
      <family val="2"/>
      <charset val="204"/>
    </font>
    <font>
      <sz val="11"/>
      <color theme="1"/>
      <name val="Aptos"/>
      <family val="2"/>
    </font>
    <font>
      <b/>
      <sz val="14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i/>
      <sz val="11"/>
      <color rgb="FF000000"/>
      <name val="Calibri"/>
      <family val="2"/>
      <charset val="204"/>
    </font>
    <font>
      <b/>
      <i/>
      <sz val="9"/>
      <color rgb="FF000000"/>
      <name val="Arial"/>
      <family val="2"/>
      <charset val="204"/>
    </font>
    <font>
      <i/>
      <sz val="11"/>
      <color theme="1"/>
      <name val="Aptos Narrow"/>
      <family val="2"/>
      <charset val="204"/>
      <scheme val="minor"/>
    </font>
    <font>
      <b/>
      <i/>
      <sz val="11"/>
      <color rgb="FFFF0000"/>
      <name val="Aptos Narrow"/>
      <family val="2"/>
      <charset val="204"/>
      <scheme val="minor"/>
    </font>
    <font>
      <i/>
      <sz val="11"/>
      <color rgb="FFFF0000"/>
      <name val="Aptos Narrow"/>
      <family val="2"/>
      <charset val="204"/>
      <scheme val="minor"/>
    </font>
    <font>
      <i/>
      <sz val="11"/>
      <name val="Aptos"/>
      <family val="2"/>
      <charset val="204"/>
    </font>
    <font>
      <b/>
      <i/>
      <sz val="11"/>
      <color rgb="FFFF0000"/>
      <name val="Aptos Narrow"/>
      <family val="2"/>
      <scheme val="minor"/>
    </font>
    <font>
      <sz val="11"/>
      <color theme="1"/>
      <name val="Calibri"/>
      <family val="2"/>
      <charset val="204"/>
    </font>
    <font>
      <b/>
      <sz val="12"/>
      <name val="Calibri"/>
      <family val="2"/>
      <charset val="204"/>
    </font>
    <font>
      <i/>
      <sz val="11"/>
      <name val="Aptos Narrow"/>
      <family val="2"/>
    </font>
    <font>
      <b/>
      <i/>
      <sz val="11"/>
      <name val="Aptos Narrow"/>
      <family val="2"/>
    </font>
    <font>
      <i/>
      <sz val="1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/>
      <bottom style="double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24" fillId="0" borderId="0"/>
    <xf numFmtId="0" fontId="27" fillId="0" borderId="0"/>
    <xf numFmtId="165" fontId="24" fillId="0" borderId="0" applyFont="0" applyFill="0" applyBorder="0" applyAlignment="0" applyProtection="0"/>
  </cellStyleXfs>
  <cellXfs count="358">
    <xf numFmtId="0" fontId="0" fillId="0" borderId="0" xfId="0"/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center" vertical="top"/>
    </xf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vertical="top"/>
    </xf>
    <xf numFmtId="0" fontId="5" fillId="2" borderId="0" xfId="0" applyFont="1" applyFill="1" applyAlignment="1">
      <alignment horizontal="center" vertical="top"/>
    </xf>
    <xf numFmtId="4" fontId="0" fillId="0" borderId="0" xfId="0" applyNumberFormat="1"/>
    <xf numFmtId="4" fontId="0" fillId="0" borderId="1" xfId="0" applyNumberForma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4" fontId="3" fillId="0" borderId="1" xfId="0" applyNumberFormat="1" applyFont="1" applyBorder="1" applyAlignment="1">
      <alignment vertical="top"/>
    </xf>
    <xf numFmtId="4" fontId="4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8" fillId="2" borderId="0" xfId="0" applyFont="1" applyFill="1" applyAlignment="1">
      <alignment vertical="top"/>
    </xf>
    <xf numFmtId="0" fontId="10" fillId="2" borderId="0" xfId="0" applyFont="1" applyFill="1" applyAlignment="1">
      <alignment vertical="top"/>
    </xf>
    <xf numFmtId="0" fontId="8" fillId="0" borderId="1" xfId="0" applyFont="1" applyBorder="1" applyAlignment="1">
      <alignment vertical="top"/>
    </xf>
    <xf numFmtId="4" fontId="0" fillId="2" borderId="1" xfId="0" applyNumberFormat="1" applyFill="1" applyBorder="1" applyAlignment="1">
      <alignment horizontal="center" vertical="top" wrapText="1"/>
    </xf>
    <xf numFmtId="4" fontId="0" fillId="2" borderId="0" xfId="0" applyNumberFormat="1" applyFill="1" applyAlignment="1">
      <alignment vertical="top"/>
    </xf>
    <xf numFmtId="4" fontId="5" fillId="2" borderId="0" xfId="0" applyNumberFormat="1" applyFont="1" applyFill="1" applyAlignment="1">
      <alignment vertical="top"/>
    </xf>
    <xf numFmtId="0" fontId="0" fillId="0" borderId="0" xfId="0" applyAlignment="1">
      <alignment horizontal="center"/>
    </xf>
    <xf numFmtId="4" fontId="12" fillId="0" borderId="0" xfId="0" applyNumberFormat="1" applyFont="1"/>
    <xf numFmtId="0" fontId="8" fillId="0" borderId="1" xfId="0" applyFont="1" applyBorder="1" applyAlignment="1">
      <alignment horizontal="center" vertical="top"/>
    </xf>
    <xf numFmtId="4" fontId="8" fillId="0" borderId="1" xfId="0" applyNumberFormat="1" applyFont="1" applyBorder="1" applyAlignment="1">
      <alignment vertical="top"/>
    </xf>
    <xf numFmtId="4" fontId="13" fillId="0" borderId="1" xfId="0" applyNumberFormat="1" applyFont="1" applyBorder="1" applyAlignment="1">
      <alignment vertical="top"/>
    </xf>
    <xf numFmtId="4" fontId="8" fillId="0" borderId="2" xfId="0" applyNumberFormat="1" applyFont="1" applyBorder="1" applyAlignment="1">
      <alignment vertical="top"/>
    </xf>
    <xf numFmtId="4" fontId="0" fillId="3" borderId="1" xfId="0" applyNumberFormat="1" applyFill="1" applyBorder="1" applyAlignment="1">
      <alignment vertical="top"/>
    </xf>
    <xf numFmtId="4" fontId="12" fillId="2" borderId="0" xfId="0" applyNumberFormat="1" applyFont="1" applyFill="1" applyAlignment="1">
      <alignment vertical="top"/>
    </xf>
    <xf numFmtId="0" fontId="8" fillId="0" borderId="6" xfId="0" applyFont="1" applyBorder="1" applyAlignment="1">
      <alignment vertical="top" wrapText="1"/>
    </xf>
    <xf numFmtId="0" fontId="8" fillId="0" borderId="11" xfId="0" applyFont="1" applyBorder="1" applyAlignment="1">
      <alignment vertical="top"/>
    </xf>
    <xf numFmtId="0" fontId="7" fillId="0" borderId="3" xfId="0" applyFont="1" applyBorder="1" applyAlignment="1">
      <alignment horizontal="center" vertical="top"/>
    </xf>
    <xf numFmtId="0" fontId="8" fillId="0" borderId="15" xfId="0" applyFont="1" applyBorder="1" applyAlignment="1">
      <alignment vertical="top" wrapText="1"/>
    </xf>
    <xf numFmtId="0" fontId="8" fillId="0" borderId="10" xfId="0" applyFont="1" applyBorder="1" applyAlignment="1">
      <alignment horizontal="center" vertical="top"/>
    </xf>
    <xf numFmtId="4" fontId="8" fillId="0" borderId="16" xfId="0" applyNumberFormat="1" applyFont="1" applyBorder="1" applyAlignment="1">
      <alignment vertical="top"/>
    </xf>
    <xf numFmtId="4" fontId="13" fillId="0" borderId="10" xfId="0" applyNumberFormat="1" applyFont="1" applyBorder="1" applyAlignment="1">
      <alignment vertical="top"/>
    </xf>
    <xf numFmtId="0" fontId="7" fillId="0" borderId="9" xfId="0" applyFont="1" applyBorder="1" applyAlignment="1">
      <alignment vertical="top"/>
    </xf>
    <xf numFmtId="0" fontId="7" fillId="0" borderId="9" xfId="0" applyFont="1" applyBorder="1" applyAlignment="1">
      <alignment horizontal="center" vertical="top"/>
    </xf>
    <xf numFmtId="4" fontId="7" fillId="0" borderId="9" xfId="0" applyNumberFormat="1" applyFont="1" applyBorder="1" applyAlignment="1">
      <alignment vertical="top"/>
    </xf>
    <xf numFmtId="4" fontId="3" fillId="0" borderId="9" xfId="0" applyNumberFormat="1" applyFont="1" applyBorder="1" applyAlignment="1">
      <alignment vertical="top"/>
    </xf>
    <xf numFmtId="0" fontId="8" fillId="0" borderId="12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4" fontId="3" fillId="0" borderId="3" xfId="0" applyNumberFormat="1" applyFont="1" applyBorder="1" applyAlignment="1">
      <alignment vertical="top"/>
    </xf>
    <xf numFmtId="0" fontId="7" fillId="0" borderId="18" xfId="0" applyFont="1" applyBorder="1" applyAlignment="1">
      <alignment vertical="top"/>
    </xf>
    <xf numFmtId="0" fontId="7" fillId="0" borderId="19" xfId="0" applyFont="1" applyBorder="1" applyAlignment="1">
      <alignment horizontal="center" vertical="top"/>
    </xf>
    <xf numFmtId="4" fontId="3" fillId="0" borderId="19" xfId="0" applyNumberFormat="1" applyFont="1" applyBorder="1" applyAlignment="1">
      <alignment vertical="top"/>
    </xf>
    <xf numFmtId="0" fontId="8" fillId="0" borderId="20" xfId="0" applyFont="1" applyBorder="1" applyAlignment="1">
      <alignment vertical="top" wrapText="1"/>
    </xf>
    <xf numFmtId="0" fontId="5" fillId="2" borderId="21" xfId="0" applyFont="1" applyFill="1" applyBorder="1" applyAlignment="1">
      <alignment horizontal="center" vertical="top"/>
    </xf>
    <xf numFmtId="0" fontId="5" fillId="2" borderId="22" xfId="0" applyFont="1" applyFill="1" applyBorder="1" applyAlignment="1">
      <alignment horizontal="center" vertical="top"/>
    </xf>
    <xf numFmtId="0" fontId="5" fillId="2" borderId="22" xfId="0" applyFont="1" applyFill="1" applyBorder="1" applyAlignment="1">
      <alignment horizontal="center" vertical="top" wrapText="1"/>
    </xf>
    <xf numFmtId="0" fontId="3" fillId="2" borderId="22" xfId="0" applyFont="1" applyFill="1" applyBorder="1" applyAlignment="1">
      <alignment horizontal="center" vertical="top" wrapText="1"/>
    </xf>
    <xf numFmtId="0" fontId="7" fillId="0" borderId="19" xfId="0" applyFont="1" applyBorder="1" applyAlignment="1">
      <alignment vertical="top"/>
    </xf>
    <xf numFmtId="0" fontId="4" fillId="2" borderId="3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 wrapText="1"/>
    </xf>
    <xf numFmtId="4" fontId="4" fillId="0" borderId="3" xfId="0" applyNumberFormat="1" applyFont="1" applyBorder="1" applyAlignment="1">
      <alignment vertical="top"/>
    </xf>
    <xf numFmtId="0" fontId="11" fillId="2" borderId="0" xfId="0" applyFont="1" applyFill="1" applyAlignment="1">
      <alignment horizontal="center" vertical="top"/>
    </xf>
    <xf numFmtId="0" fontId="15" fillId="2" borderId="0" xfId="0" applyFont="1" applyFill="1" applyAlignment="1">
      <alignment horizontal="right" vertical="top"/>
    </xf>
    <xf numFmtId="4" fontId="15" fillId="2" borderId="0" xfId="0" applyNumberFormat="1" applyFont="1" applyFill="1" applyAlignment="1">
      <alignment vertical="top"/>
    </xf>
    <xf numFmtId="4" fontId="12" fillId="0" borderId="1" xfId="0" applyNumberFormat="1" applyFont="1" applyBorder="1"/>
    <xf numFmtId="4" fontId="7" fillId="0" borderId="24" xfId="0" applyNumberFormat="1" applyFont="1" applyBorder="1" applyAlignment="1">
      <alignment horizontal="center" vertical="top"/>
    </xf>
    <xf numFmtId="0" fontId="16" fillId="0" borderId="0" xfId="0" applyFont="1"/>
    <xf numFmtId="4" fontId="16" fillId="0" borderId="1" xfId="0" applyNumberFormat="1" applyFont="1" applyBorder="1" applyAlignment="1">
      <alignment vertical="top"/>
    </xf>
    <xf numFmtId="0" fontId="8" fillId="0" borderId="10" xfId="0" applyFont="1" applyBorder="1" applyAlignment="1">
      <alignment vertical="top" wrapText="1"/>
    </xf>
    <xf numFmtId="0" fontId="10" fillId="3" borderId="12" xfId="0" applyFont="1" applyFill="1" applyBorder="1" applyAlignment="1">
      <alignment vertical="top"/>
    </xf>
    <xf numFmtId="0" fontId="10" fillId="2" borderId="23" xfId="0" applyFont="1" applyFill="1" applyBorder="1" applyAlignment="1">
      <alignment horizontal="center" vertical="top" wrapText="1"/>
    </xf>
    <xf numFmtId="0" fontId="14" fillId="0" borderId="5" xfId="0" applyFont="1" applyBorder="1"/>
    <xf numFmtId="0" fontId="14" fillId="0" borderId="0" xfId="0" applyFont="1" applyAlignment="1">
      <alignment horizontal="center"/>
    </xf>
    <xf numFmtId="0" fontId="17" fillId="3" borderId="27" xfId="0" applyFont="1" applyFill="1" applyBorder="1" applyAlignment="1">
      <alignment vertical="top"/>
    </xf>
    <xf numFmtId="0" fontId="17" fillId="3" borderId="28" xfId="0" applyFont="1" applyFill="1" applyBorder="1" applyAlignment="1">
      <alignment vertical="top"/>
    </xf>
    <xf numFmtId="0" fontId="17" fillId="3" borderId="28" xfId="0" applyFont="1" applyFill="1" applyBorder="1" applyAlignment="1">
      <alignment horizontal="center" vertical="top"/>
    </xf>
    <xf numFmtId="4" fontId="17" fillId="3" borderId="28" xfId="0" applyNumberFormat="1" applyFont="1" applyFill="1" applyBorder="1" applyAlignment="1">
      <alignment vertical="top"/>
    </xf>
    <xf numFmtId="4" fontId="3" fillId="3" borderId="28" xfId="0" applyNumberFormat="1" applyFont="1" applyFill="1" applyBorder="1" applyAlignment="1">
      <alignment vertical="top"/>
    </xf>
    <xf numFmtId="0" fontId="19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7" fillId="4" borderId="26" xfId="0" applyFont="1" applyFill="1" applyBorder="1" applyAlignment="1">
      <alignment vertical="top"/>
    </xf>
    <xf numFmtId="0" fontId="7" fillId="4" borderId="26" xfId="0" applyFont="1" applyFill="1" applyBorder="1" applyAlignment="1">
      <alignment horizontal="center" vertical="top"/>
    </xf>
    <xf numFmtId="10" fontId="7" fillId="4" borderId="26" xfId="0" applyNumberFormat="1" applyFont="1" applyFill="1" applyBorder="1" applyAlignment="1">
      <alignment vertical="top"/>
    </xf>
    <xf numFmtId="4" fontId="3" fillId="4" borderId="26" xfId="0" applyNumberFormat="1" applyFont="1" applyFill="1" applyBorder="1" applyAlignment="1">
      <alignment vertical="top"/>
    </xf>
    <xf numFmtId="0" fontId="8" fillId="4" borderId="13" xfId="0" applyFont="1" applyFill="1" applyBorder="1" applyAlignment="1">
      <alignment vertical="top" wrapText="1"/>
    </xf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vertical="top"/>
    </xf>
    <xf numFmtId="0" fontId="24" fillId="0" borderId="0" xfId="0" applyFont="1"/>
    <xf numFmtId="0" fontId="25" fillId="0" borderId="0" xfId="0" applyFont="1"/>
    <xf numFmtId="0" fontId="0" fillId="0" borderId="0" xfId="0" applyAlignment="1">
      <alignment horizontal="right"/>
    </xf>
    <xf numFmtId="4" fontId="18" fillId="0" borderId="1" xfId="0" applyNumberFormat="1" applyFont="1" applyBorder="1" applyAlignment="1">
      <alignment vertical="top"/>
    </xf>
    <xf numFmtId="0" fontId="9" fillId="0" borderId="0" xfId="0" applyFont="1"/>
    <xf numFmtId="0" fontId="1" fillId="2" borderId="0" xfId="0" applyFont="1" applyFill="1" applyAlignment="1">
      <alignment horizontal="left" vertical="top"/>
    </xf>
    <xf numFmtId="0" fontId="9" fillId="0" borderId="0" xfId="0" applyFont="1" applyAlignment="1">
      <alignment wrapText="1"/>
    </xf>
    <xf numFmtId="0" fontId="7" fillId="2" borderId="0" xfId="0" applyFont="1" applyFill="1" applyAlignment="1">
      <alignment vertical="top"/>
    </xf>
    <xf numFmtId="0" fontId="15" fillId="2" borderId="0" xfId="0" applyFont="1" applyFill="1" applyAlignment="1">
      <alignment vertical="top"/>
    </xf>
    <xf numFmtId="0" fontId="15" fillId="2" borderId="0" xfId="0" applyFont="1" applyFill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right" vertical="top"/>
    </xf>
    <xf numFmtId="4" fontId="3" fillId="5" borderId="4" xfId="0" applyNumberFormat="1" applyFont="1" applyFill="1" applyBorder="1" applyAlignment="1">
      <alignment vertical="top"/>
    </xf>
    <xf numFmtId="0" fontId="10" fillId="6" borderId="13" xfId="0" applyFont="1" applyFill="1" applyBorder="1" applyAlignment="1">
      <alignment vertical="top"/>
    </xf>
    <xf numFmtId="0" fontId="8" fillId="5" borderId="13" xfId="0" applyFont="1" applyFill="1" applyBorder="1" applyAlignment="1">
      <alignment vertical="top"/>
    </xf>
    <xf numFmtId="16" fontId="8" fillId="0" borderId="14" xfId="0" applyNumberFormat="1" applyFont="1" applyBorder="1" applyAlignment="1">
      <alignment horizontal="right" vertical="top"/>
    </xf>
    <xf numFmtId="16" fontId="8" fillId="0" borderId="17" xfId="0" applyNumberFormat="1" applyFont="1" applyBorder="1" applyAlignment="1">
      <alignment horizontal="right" vertical="top"/>
    </xf>
    <xf numFmtId="0" fontId="7" fillId="0" borderId="3" xfId="0" applyFont="1" applyBorder="1" applyAlignment="1">
      <alignment vertical="top" wrapText="1"/>
    </xf>
    <xf numFmtId="0" fontId="7" fillId="4" borderId="34" xfId="0" applyFont="1" applyFill="1" applyBorder="1" applyAlignment="1">
      <alignment vertical="top"/>
    </xf>
    <xf numFmtId="0" fontId="4" fillId="0" borderId="14" xfId="0" applyFont="1" applyBorder="1" applyAlignment="1">
      <alignment vertical="top"/>
    </xf>
    <xf numFmtId="4" fontId="18" fillId="0" borderId="0" xfId="0" applyNumberFormat="1" applyFont="1" applyAlignment="1">
      <alignment wrapText="1"/>
    </xf>
    <xf numFmtId="4" fontId="0" fillId="8" borderId="1" xfId="0" applyNumberFormat="1" applyFill="1" applyBorder="1" applyAlignment="1">
      <alignment vertical="top"/>
    </xf>
    <xf numFmtId="0" fontId="0" fillId="8" borderId="1" xfId="0" applyFill="1" applyBorder="1"/>
    <xf numFmtId="4" fontId="0" fillId="0" borderId="0" xfId="0" applyNumberFormat="1" applyAlignment="1">
      <alignment vertical="top"/>
    </xf>
    <xf numFmtId="0" fontId="14" fillId="0" borderId="35" xfId="0" applyFont="1" applyBorder="1" applyAlignment="1">
      <alignment wrapText="1"/>
    </xf>
    <xf numFmtId="0" fontId="14" fillId="0" borderId="30" xfId="0" applyFont="1" applyBorder="1" applyAlignment="1">
      <alignment wrapText="1"/>
    </xf>
    <xf numFmtId="0" fontId="0" fillId="0" borderId="33" xfId="0" applyBorder="1"/>
    <xf numFmtId="0" fontId="14" fillId="0" borderId="0" xfId="0" applyFont="1" applyAlignment="1">
      <alignment horizontal="left" wrapText="1"/>
    </xf>
    <xf numFmtId="0" fontId="14" fillId="9" borderId="35" xfId="0" applyFont="1" applyFill="1" applyBorder="1" applyAlignment="1">
      <alignment wrapText="1"/>
    </xf>
    <xf numFmtId="0" fontId="14" fillId="9" borderId="30" xfId="0" applyFont="1" applyFill="1" applyBorder="1" applyAlignment="1">
      <alignment horizontal="center"/>
    </xf>
    <xf numFmtId="0" fontId="14" fillId="9" borderId="36" xfId="0" applyFont="1" applyFill="1" applyBorder="1" applyAlignment="1">
      <alignment horizontal="center"/>
    </xf>
    <xf numFmtId="0" fontId="14" fillId="9" borderId="33" xfId="0" applyFont="1" applyFill="1" applyBorder="1" applyAlignment="1">
      <alignment horizontal="left"/>
    </xf>
    <xf numFmtId="4" fontId="14" fillId="9" borderId="1" xfId="0" applyNumberFormat="1" applyFont="1" applyFill="1" applyBorder="1"/>
    <xf numFmtId="0" fontId="14" fillId="9" borderId="1" xfId="0" applyFont="1" applyFill="1" applyBorder="1"/>
    <xf numFmtId="0" fontId="14" fillId="9" borderId="37" xfId="0" applyFont="1" applyFill="1" applyBorder="1"/>
    <xf numFmtId="3" fontId="0" fillId="0" borderId="0" xfId="0" applyNumberFormat="1"/>
    <xf numFmtId="3" fontId="12" fillId="0" borderId="0" xfId="0" applyNumberFormat="1" applyFont="1"/>
    <xf numFmtId="0" fontId="12" fillId="3" borderId="37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1" xfId="0" applyFont="1" applyFill="1" applyBorder="1"/>
    <xf numFmtId="0" fontId="12" fillId="3" borderId="37" xfId="0" applyFont="1" applyFill="1" applyBorder="1"/>
    <xf numFmtId="0" fontId="18" fillId="0" borderId="2" xfId="0" applyFont="1" applyBorder="1" applyAlignment="1">
      <alignment horizontal="left"/>
    </xf>
    <xf numFmtId="0" fontId="18" fillId="0" borderId="31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18" fillId="0" borderId="1" xfId="0" applyFont="1" applyBorder="1"/>
    <xf numFmtId="4" fontId="18" fillId="0" borderId="1" xfId="0" applyNumberFormat="1" applyFont="1" applyBorder="1"/>
    <xf numFmtId="4" fontId="18" fillId="0" borderId="37" xfId="0" applyNumberFormat="1" applyFont="1" applyBorder="1"/>
    <xf numFmtId="0" fontId="0" fillId="0" borderId="2" xfId="0" applyBorder="1"/>
    <xf numFmtId="0" fontId="18" fillId="0" borderId="43" xfId="0" applyFont="1" applyBorder="1" applyAlignment="1">
      <alignment horizontal="center"/>
    </xf>
    <xf numFmtId="0" fontId="0" fillId="0" borderId="3" xfId="0" applyBorder="1"/>
    <xf numFmtId="4" fontId="18" fillId="0" borderId="31" xfId="0" applyNumberFormat="1" applyFont="1" applyBorder="1"/>
    <xf numFmtId="4" fontId="18" fillId="0" borderId="43" xfId="0" applyNumberFormat="1" applyFont="1" applyBorder="1" applyAlignment="1">
      <alignment horizontal="right"/>
    </xf>
    <xf numFmtId="0" fontId="7" fillId="0" borderId="1" xfId="0" applyFont="1" applyBorder="1" applyAlignment="1">
      <alignment vertical="top" wrapText="1"/>
    </xf>
    <xf numFmtId="0" fontId="7" fillId="0" borderId="14" xfId="0" applyFont="1" applyBorder="1" applyAlignment="1">
      <alignment vertical="top"/>
    </xf>
    <xf numFmtId="4" fontId="7" fillId="0" borderId="51" xfId="0" applyNumberFormat="1" applyFont="1" applyBorder="1" applyAlignment="1">
      <alignment vertical="top"/>
    </xf>
    <xf numFmtId="0" fontId="7" fillId="0" borderId="3" xfId="0" applyFont="1" applyBorder="1" applyAlignment="1">
      <alignment vertical="top"/>
    </xf>
    <xf numFmtId="0" fontId="28" fillId="0" borderId="43" xfId="0" applyFont="1" applyBorder="1"/>
    <xf numFmtId="0" fontId="0" fillId="0" borderId="43" xfId="0" applyBorder="1"/>
    <xf numFmtId="4" fontId="18" fillId="0" borderId="43" xfId="0" applyNumberFormat="1" applyFont="1" applyBorder="1"/>
    <xf numFmtId="0" fontId="0" fillId="0" borderId="53" xfId="0" applyBorder="1"/>
    <xf numFmtId="0" fontId="7" fillId="4" borderId="47" xfId="0" applyFont="1" applyFill="1" applyBorder="1" applyAlignment="1">
      <alignment horizontal="right" vertical="top"/>
    </xf>
    <xf numFmtId="0" fontId="7" fillId="4" borderId="49" xfId="0" applyFont="1" applyFill="1" applyBorder="1" applyAlignment="1">
      <alignment vertical="top" wrapText="1"/>
    </xf>
    <xf numFmtId="0" fontId="7" fillId="4" borderId="49" xfId="0" applyFont="1" applyFill="1" applyBorder="1" applyAlignment="1">
      <alignment horizontal="center" vertical="top"/>
    </xf>
    <xf numFmtId="4" fontId="7" fillId="4" borderId="50" xfId="0" applyNumberFormat="1" applyFont="1" applyFill="1" applyBorder="1" applyAlignment="1">
      <alignment vertical="top"/>
    </xf>
    <xf numFmtId="4" fontId="3" fillId="4" borderId="49" xfId="0" applyNumberFormat="1" applyFont="1" applyFill="1" applyBorder="1" applyAlignment="1">
      <alignment vertical="top"/>
    </xf>
    <xf numFmtId="0" fontId="8" fillId="4" borderId="52" xfId="0" applyFont="1" applyFill="1" applyBorder="1" applyAlignment="1">
      <alignment vertical="top" wrapText="1"/>
    </xf>
    <xf numFmtId="4" fontId="7" fillId="0" borderId="3" xfId="0" applyNumberFormat="1" applyFont="1" applyBorder="1" applyAlignment="1">
      <alignment vertical="top"/>
    </xf>
    <xf numFmtId="4" fontId="7" fillId="0" borderId="1" xfId="0" applyNumberFormat="1" applyFont="1" applyBorder="1" applyAlignment="1">
      <alignment vertical="top"/>
    </xf>
    <xf numFmtId="3" fontId="12" fillId="0" borderId="1" xfId="0" applyNumberFormat="1" applyFont="1" applyBorder="1" applyAlignment="1">
      <alignment vertical="top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center" vertical="top"/>
    </xf>
    <xf numFmtId="0" fontId="1" fillId="0" borderId="0" xfId="0" applyFont="1" applyAlignment="1">
      <alignment horizontal="right" vertical="center"/>
    </xf>
    <xf numFmtId="0" fontId="29" fillId="0" borderId="0" xfId="0" applyFont="1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30" fillId="3" borderId="55" xfId="0" applyFont="1" applyFill="1" applyBorder="1" applyAlignment="1">
      <alignment horizontal="center" vertical="center" wrapText="1"/>
    </xf>
    <xf numFmtId="0" fontId="30" fillId="3" borderId="56" xfId="0" applyFont="1" applyFill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4" fillId="0" borderId="62" xfId="0" applyFont="1" applyBorder="1" applyAlignment="1">
      <alignment vertical="center" wrapText="1"/>
    </xf>
    <xf numFmtId="3" fontId="4" fillId="0" borderId="64" xfId="0" applyNumberFormat="1" applyFont="1" applyBorder="1" applyAlignment="1">
      <alignment vertical="center" wrapText="1"/>
    </xf>
    <xf numFmtId="3" fontId="4" fillId="0" borderId="62" xfId="0" applyNumberFormat="1" applyFont="1" applyBorder="1" applyAlignment="1">
      <alignment vertical="center" wrapText="1"/>
    </xf>
    <xf numFmtId="0" fontId="4" fillId="0" borderId="66" xfId="0" applyFont="1" applyBorder="1" applyAlignment="1">
      <alignment vertical="center" wrapText="1"/>
    </xf>
    <xf numFmtId="3" fontId="4" fillId="0" borderId="68" xfId="0" applyNumberFormat="1" applyFont="1" applyBorder="1" applyAlignment="1">
      <alignment horizontal="right" vertical="center" wrapText="1"/>
    </xf>
    <xf numFmtId="3" fontId="4" fillId="0" borderId="59" xfId="0" applyNumberFormat="1" applyFont="1" applyBorder="1" applyAlignment="1">
      <alignment horizontal="right" vertical="center" wrapText="1"/>
    </xf>
    <xf numFmtId="0" fontId="4" fillId="0" borderId="70" xfId="0" applyFont="1" applyBorder="1" applyAlignment="1">
      <alignment horizontal="center" vertical="center" wrapText="1"/>
    </xf>
    <xf numFmtId="0" fontId="4" fillId="0" borderId="71" xfId="0" applyFont="1" applyBorder="1" applyAlignment="1">
      <alignment vertical="center" wrapText="1"/>
    </xf>
    <xf numFmtId="3" fontId="5" fillId="3" borderId="72" xfId="0" applyNumberFormat="1" applyFont="1" applyFill="1" applyBorder="1" applyAlignment="1">
      <alignment horizontal="right" vertical="center" wrapText="1"/>
    </xf>
    <xf numFmtId="0" fontId="5" fillId="3" borderId="74" xfId="0" applyFont="1" applyFill="1" applyBorder="1" applyAlignment="1">
      <alignment horizontal="center" vertical="center" wrapText="1"/>
    </xf>
    <xf numFmtId="0" fontId="5" fillId="3" borderId="76" xfId="0" applyFont="1" applyFill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 wrapText="1"/>
    </xf>
    <xf numFmtId="0" fontId="7" fillId="0" borderId="78" xfId="0" applyFont="1" applyBorder="1" applyAlignment="1">
      <alignment vertical="top" wrapText="1"/>
    </xf>
    <xf numFmtId="3" fontId="4" fillId="0" borderId="79" xfId="0" applyNumberFormat="1" applyFont="1" applyBorder="1" applyAlignment="1">
      <alignment horizontal="right" vertical="center" wrapText="1"/>
    </xf>
    <xf numFmtId="0" fontId="4" fillId="0" borderId="60" xfId="0" applyFont="1" applyBorder="1" applyAlignment="1">
      <alignment vertical="center" wrapText="1"/>
    </xf>
    <xf numFmtId="3" fontId="7" fillId="0" borderId="60" xfId="0" applyNumberFormat="1" applyFont="1" applyBorder="1" applyAlignment="1">
      <alignment horizontal="right" vertical="center" wrapText="1"/>
    </xf>
    <xf numFmtId="0" fontId="31" fillId="0" borderId="77" xfId="0" applyFont="1" applyBorder="1" applyAlignment="1">
      <alignment vertical="top" wrapText="1"/>
    </xf>
    <xf numFmtId="0" fontId="5" fillId="0" borderId="60" xfId="0" applyFont="1" applyBorder="1" applyAlignment="1">
      <alignment horizontal="right" vertical="center" wrapText="1"/>
    </xf>
    <xf numFmtId="3" fontId="5" fillId="0" borderId="60" xfId="0" applyNumberFormat="1" applyFont="1" applyBorder="1" applyAlignment="1">
      <alignment horizontal="right" vertical="center" wrapText="1"/>
    </xf>
    <xf numFmtId="0" fontId="31" fillId="3" borderId="77" xfId="0" applyFont="1" applyFill="1" applyBorder="1" applyAlignment="1">
      <alignment vertical="top" wrapText="1"/>
    </xf>
    <xf numFmtId="0" fontId="5" fillId="3" borderId="60" xfId="0" applyFont="1" applyFill="1" applyBorder="1" applyAlignment="1">
      <alignment horizontal="right" vertical="center" wrapText="1"/>
    </xf>
    <xf numFmtId="3" fontId="5" fillId="3" borderId="60" xfId="0" applyNumberFormat="1" applyFont="1" applyFill="1" applyBorder="1" applyAlignment="1">
      <alignment horizontal="right" vertical="center" wrapText="1"/>
    </xf>
    <xf numFmtId="0" fontId="31" fillId="3" borderId="60" xfId="0" applyFont="1" applyFill="1" applyBorder="1" applyAlignment="1">
      <alignment vertical="top" wrapText="1"/>
    </xf>
    <xf numFmtId="0" fontId="32" fillId="0" borderId="0" xfId="0" applyFont="1" applyAlignment="1">
      <alignment horizontal="left"/>
    </xf>
    <xf numFmtId="0" fontId="23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23" fillId="0" borderId="0" xfId="0" applyFont="1" applyAlignment="1">
      <alignment vertical="top" wrapText="1"/>
    </xf>
    <xf numFmtId="4" fontId="20" fillId="0" borderId="0" xfId="0" applyNumberFormat="1" applyFont="1" applyAlignment="1">
      <alignment vertical="top" wrapText="1"/>
    </xf>
    <xf numFmtId="0" fontId="33" fillId="0" borderId="0" xfId="0" applyFont="1" applyAlignment="1">
      <alignment horizontal="left" vertical="top" wrapText="1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vertical="top"/>
    </xf>
    <xf numFmtId="0" fontId="33" fillId="0" borderId="1" xfId="0" applyFont="1" applyBorder="1" applyAlignment="1">
      <alignment horizontal="center"/>
    </xf>
    <xf numFmtId="0" fontId="33" fillId="0" borderId="6" xfId="0" applyFont="1" applyBorder="1" applyAlignment="1">
      <alignment horizontal="center"/>
    </xf>
    <xf numFmtId="0" fontId="34" fillId="0" borderId="48" xfId="0" applyFont="1" applyBorder="1" applyAlignment="1">
      <alignment horizontal="center"/>
    </xf>
    <xf numFmtId="4" fontId="33" fillId="0" borderId="1" xfId="0" applyNumberFormat="1" applyFont="1" applyBorder="1"/>
    <xf numFmtId="4" fontId="33" fillId="0" borderId="6" xfId="0" applyNumberFormat="1" applyFont="1" applyBorder="1"/>
    <xf numFmtId="0" fontId="34" fillId="0" borderId="91" xfId="0" applyFont="1" applyBorder="1" applyAlignment="1">
      <alignment horizontal="center"/>
    </xf>
    <xf numFmtId="4" fontId="33" fillId="0" borderId="92" xfId="0" applyNumberFormat="1" applyFont="1" applyBorder="1"/>
    <xf numFmtId="4" fontId="33" fillId="0" borderId="93" xfId="0" applyNumberFormat="1" applyFont="1" applyBorder="1"/>
    <xf numFmtId="0" fontId="34" fillId="0" borderId="0" xfId="0" applyFont="1"/>
    <xf numFmtId="0" fontId="34" fillId="0" borderId="25" xfId="0" applyFont="1" applyBorder="1" applyAlignment="1">
      <alignment vertical="center" wrapText="1"/>
    </xf>
    <xf numFmtId="4" fontId="34" fillId="0" borderId="39" xfId="0" applyNumberFormat="1" applyFont="1" applyBorder="1" applyAlignment="1">
      <alignment vertical="center" wrapText="1"/>
    </xf>
    <xf numFmtId="0" fontId="34" fillId="0" borderId="94" xfId="0" applyFont="1" applyBorder="1" applyAlignment="1">
      <alignment vertical="center" wrapText="1"/>
    </xf>
    <xf numFmtId="0" fontId="34" fillId="0" borderId="92" xfId="0" applyFont="1" applyBorder="1" applyAlignment="1">
      <alignment vertical="center" wrapText="1"/>
    </xf>
    <xf numFmtId="0" fontId="34" fillId="0" borderId="26" xfId="0" applyFont="1" applyBorder="1" applyAlignment="1">
      <alignment vertical="top" wrapText="1"/>
    </xf>
    <xf numFmtId="4" fontId="34" fillId="0" borderId="26" xfId="0" applyNumberFormat="1" applyFont="1" applyBorder="1" applyAlignment="1">
      <alignment vertical="top" wrapText="1"/>
    </xf>
    <xf numFmtId="0" fontId="34" fillId="0" borderId="95" xfId="0" applyFont="1" applyBorder="1" applyAlignment="1">
      <alignment vertical="top" wrapText="1"/>
    </xf>
    <xf numFmtId="4" fontId="5" fillId="3" borderId="60" xfId="0" applyNumberFormat="1" applyFont="1" applyFill="1" applyBorder="1" applyAlignment="1">
      <alignment horizontal="right" vertical="center" wrapText="1"/>
    </xf>
    <xf numFmtId="4" fontId="5" fillId="0" borderId="60" xfId="0" applyNumberFormat="1" applyFont="1" applyBorder="1" applyAlignment="1">
      <alignment horizontal="right" vertical="center" wrapText="1"/>
    </xf>
    <xf numFmtId="0" fontId="14" fillId="0" borderId="0" xfId="0" applyFont="1"/>
    <xf numFmtId="0" fontId="7" fillId="0" borderId="1" xfId="0" applyFont="1" applyBorder="1" applyAlignment="1">
      <alignment vertical="top"/>
    </xf>
    <xf numFmtId="0" fontId="8" fillId="2" borderId="1" xfId="0" applyFont="1" applyFill="1" applyBorder="1" applyAlignment="1">
      <alignment horizontal="left" vertical="top" wrapText="1"/>
    </xf>
    <xf numFmtId="9" fontId="0" fillId="0" borderId="0" xfId="0" applyNumberFormat="1"/>
    <xf numFmtId="3" fontId="0" fillId="0" borderId="0" xfId="0" applyNumberFormat="1" applyAlignment="1">
      <alignment horizontal="left"/>
    </xf>
    <xf numFmtId="0" fontId="0" fillId="0" borderId="43" xfId="0" applyBorder="1" applyAlignment="1">
      <alignment horizontal="left"/>
    </xf>
    <xf numFmtId="4" fontId="7" fillId="0" borderId="1" xfId="0" applyNumberFormat="1" applyFont="1" applyBorder="1" applyAlignment="1">
      <alignment horizontal="right" vertical="top"/>
    </xf>
    <xf numFmtId="164" fontId="7" fillId="0" borderId="1" xfId="0" applyNumberFormat="1" applyFont="1" applyBorder="1" applyAlignment="1">
      <alignment vertical="top"/>
    </xf>
    <xf numFmtId="0" fontId="0" fillId="7" borderId="0" xfId="0" applyFill="1"/>
    <xf numFmtId="4" fontId="0" fillId="7" borderId="0" xfId="0" applyNumberFormat="1" applyFill="1"/>
    <xf numFmtId="0" fontId="36" fillId="0" borderId="0" xfId="0" applyFont="1"/>
    <xf numFmtId="0" fontId="35" fillId="2" borderId="0" xfId="0" applyFont="1" applyFill="1" applyAlignment="1">
      <alignment horizontal="center" vertical="top"/>
    </xf>
    <xf numFmtId="0" fontId="35" fillId="2" borderId="0" xfId="0" applyFont="1" applyFill="1" applyAlignment="1">
      <alignment vertical="top"/>
    </xf>
    <xf numFmtId="0" fontId="5" fillId="3" borderId="98" xfId="0" applyFont="1" applyFill="1" applyBorder="1" applyAlignment="1">
      <alignment horizontal="center" vertical="center" wrapText="1"/>
    </xf>
    <xf numFmtId="0" fontId="5" fillId="3" borderId="99" xfId="0" applyFont="1" applyFill="1" applyBorder="1" applyAlignment="1">
      <alignment horizontal="center" vertical="center" wrapText="1"/>
    </xf>
    <xf numFmtId="0" fontId="5" fillId="0" borderId="79" xfId="0" applyFont="1" applyBorder="1" applyAlignment="1">
      <alignment horizontal="center" vertical="center" wrapText="1"/>
    </xf>
    <xf numFmtId="0" fontId="5" fillId="0" borderId="82" xfId="0" applyFont="1" applyBorder="1" applyAlignment="1">
      <alignment horizontal="center" vertical="center" wrapText="1"/>
    </xf>
    <xf numFmtId="4" fontId="22" fillId="0" borderId="3" xfId="0" applyNumberFormat="1" applyFont="1" applyBorder="1" applyAlignment="1">
      <alignment vertical="top"/>
    </xf>
    <xf numFmtId="0" fontId="34" fillId="0" borderId="45" xfId="0" applyFont="1" applyBorder="1" applyAlignment="1">
      <alignment vertical="center" wrapText="1"/>
    </xf>
    <xf numFmtId="0" fontId="34" fillId="0" borderId="34" xfId="0" applyFont="1" applyBorder="1" applyAlignment="1">
      <alignment vertical="top" wrapText="1"/>
    </xf>
    <xf numFmtId="0" fontId="26" fillId="0" borderId="0" xfId="0" applyFont="1" applyAlignment="1">
      <alignment vertical="top" wrapText="1"/>
    </xf>
    <xf numFmtId="0" fontId="37" fillId="0" borderId="0" xfId="0" applyFont="1"/>
    <xf numFmtId="0" fontId="38" fillId="0" borderId="0" xfId="0" applyFont="1" applyAlignment="1">
      <alignment horizontal="center"/>
    </xf>
    <xf numFmtId="4" fontId="38" fillId="0" borderId="0" xfId="0" applyNumberFormat="1" applyFont="1" applyAlignment="1">
      <alignment horizontal="right"/>
    </xf>
    <xf numFmtId="0" fontId="39" fillId="0" borderId="0" xfId="0" applyFont="1" applyAlignment="1">
      <alignment horizontal="center" wrapText="1"/>
    </xf>
    <xf numFmtId="0" fontId="29" fillId="3" borderId="37" xfId="0" applyFont="1" applyFill="1" applyBorder="1" applyAlignment="1">
      <alignment horizontal="center"/>
    </xf>
    <xf numFmtId="0" fontId="37" fillId="3" borderId="2" xfId="0" applyFont="1" applyFill="1" applyBorder="1" applyAlignment="1">
      <alignment horizontal="left"/>
    </xf>
    <xf numFmtId="0" fontId="37" fillId="3" borderId="31" xfId="0" applyFont="1" applyFill="1" applyBorder="1" applyAlignment="1">
      <alignment horizontal="center"/>
    </xf>
    <xf numFmtId="0" fontId="37" fillId="3" borderId="32" xfId="0" applyFont="1" applyFill="1" applyBorder="1" applyAlignment="1">
      <alignment horizontal="center"/>
    </xf>
    <xf numFmtId="0" fontId="29" fillId="3" borderId="3" xfId="0" applyFont="1" applyFill="1" applyBorder="1" applyAlignment="1">
      <alignment horizontal="center"/>
    </xf>
    <xf numFmtId="4" fontId="37" fillId="3" borderId="1" xfId="0" applyNumberFormat="1" applyFont="1" applyFill="1" applyBorder="1"/>
    <xf numFmtId="0" fontId="37" fillId="3" borderId="1" xfId="0" applyFont="1" applyFill="1" applyBorder="1"/>
    <xf numFmtId="0" fontId="29" fillId="3" borderId="1" xfId="0" applyFont="1" applyFill="1" applyBorder="1"/>
    <xf numFmtId="4" fontId="29" fillId="3" borderId="1" xfId="0" applyNumberFormat="1" applyFont="1" applyFill="1" applyBorder="1"/>
    <xf numFmtId="4" fontId="37" fillId="3" borderId="37" xfId="0" applyNumberFormat="1" applyFont="1" applyFill="1" applyBorder="1"/>
    <xf numFmtId="0" fontId="37" fillId="3" borderId="0" xfId="0" applyFont="1" applyFill="1"/>
    <xf numFmtId="0" fontId="37" fillId="3" borderId="31" xfId="0" applyFont="1" applyFill="1" applyBorder="1"/>
    <xf numFmtId="0" fontId="37" fillId="3" borderId="32" xfId="0" applyFont="1" applyFill="1" applyBorder="1"/>
    <xf numFmtId="0" fontId="37" fillId="3" borderId="2" xfId="0" applyFont="1" applyFill="1" applyBorder="1"/>
    <xf numFmtId="0" fontId="37" fillId="3" borderId="0" xfId="0" applyFont="1" applyFill="1" applyAlignment="1">
      <alignment horizontal="center"/>
    </xf>
    <xf numFmtId="0" fontId="37" fillId="3" borderId="0" xfId="0" applyFont="1" applyFill="1" applyAlignment="1">
      <alignment horizontal="right"/>
    </xf>
    <xf numFmtId="0" fontId="37" fillId="3" borderId="1" xfId="0" applyFont="1" applyFill="1" applyBorder="1" applyAlignment="1">
      <alignment horizontal="center"/>
    </xf>
    <xf numFmtId="0" fontId="37" fillId="3" borderId="1" xfId="0" applyFont="1" applyFill="1" applyBorder="1" applyAlignment="1">
      <alignment horizontal="right"/>
    </xf>
    <xf numFmtId="0" fontId="40" fillId="0" borderId="0" xfId="0" applyFont="1" applyAlignment="1">
      <alignment horizontal="center" vertical="top" wrapText="1"/>
    </xf>
    <xf numFmtId="0" fontId="40" fillId="0" borderId="0" xfId="0" applyFont="1" applyAlignment="1">
      <alignment vertical="center" wrapText="1"/>
    </xf>
    <xf numFmtId="0" fontId="29" fillId="7" borderId="0" xfId="0" applyFont="1" applyFill="1" applyAlignment="1">
      <alignment horizontal="center"/>
    </xf>
    <xf numFmtId="4" fontId="29" fillId="0" borderId="0" xfId="0" applyNumberFormat="1" applyFont="1" applyAlignment="1">
      <alignment horizontal="right"/>
    </xf>
    <xf numFmtId="0" fontId="37" fillId="0" borderId="0" xfId="0" applyFont="1" applyAlignment="1">
      <alignment horizontal="right"/>
    </xf>
    <xf numFmtId="0" fontId="37" fillId="0" borderId="0" xfId="0" applyFont="1" applyAlignment="1">
      <alignment horizontal="center"/>
    </xf>
    <xf numFmtId="0" fontId="14" fillId="10" borderId="43" xfId="0" applyFont="1" applyFill="1" applyBorder="1"/>
    <xf numFmtId="0" fontId="41" fillId="10" borderId="85" xfId="0" applyFont="1" applyFill="1" applyBorder="1"/>
    <xf numFmtId="0" fontId="41" fillId="10" borderId="96" xfId="0" applyFont="1" applyFill="1" applyBorder="1"/>
    <xf numFmtId="0" fontId="14" fillId="10" borderId="0" xfId="0" applyFont="1" applyFill="1"/>
    <xf numFmtId="4" fontId="14" fillId="10" borderId="0" xfId="0" applyNumberFormat="1" applyFont="1" applyFill="1"/>
    <xf numFmtId="0" fontId="6" fillId="0" borderId="0" xfId="0" applyFont="1" applyAlignment="1">
      <alignment horizontal="right"/>
    </xf>
    <xf numFmtId="3" fontId="8" fillId="0" borderId="31" xfId="0" applyNumberFormat="1" applyFont="1" applyBorder="1" applyAlignment="1">
      <alignment horizontal="center" vertical="center" wrapText="1"/>
    </xf>
    <xf numFmtId="3" fontId="1" fillId="0" borderId="69" xfId="0" applyNumberFormat="1" applyFont="1" applyBorder="1" applyAlignment="1">
      <alignment horizontal="center" vertical="center" wrapText="1"/>
    </xf>
    <xf numFmtId="3" fontId="1" fillId="0" borderId="71" xfId="0" applyNumberFormat="1" applyFont="1" applyBorder="1" applyAlignment="1">
      <alignment horizontal="center" vertical="center" wrapText="1"/>
    </xf>
    <xf numFmtId="3" fontId="42" fillId="3" borderId="73" xfId="0" applyNumberFormat="1" applyFont="1" applyFill="1" applyBorder="1" applyAlignment="1">
      <alignment vertical="top" wrapText="1"/>
    </xf>
    <xf numFmtId="3" fontId="42" fillId="3" borderId="60" xfId="0" applyNumberFormat="1" applyFont="1" applyFill="1" applyBorder="1" applyAlignment="1">
      <alignment vertical="top" wrapText="1"/>
    </xf>
    <xf numFmtId="0" fontId="43" fillId="2" borderId="0" xfId="0" applyFont="1" applyFill="1" applyAlignment="1">
      <alignment vertical="top"/>
    </xf>
    <xf numFmtId="3" fontId="4" fillId="0" borderId="80" xfId="0" applyNumberFormat="1" applyFont="1" applyBorder="1" applyAlignment="1">
      <alignment horizontal="right" vertical="center" wrapText="1"/>
    </xf>
    <xf numFmtId="3" fontId="7" fillId="0" borderId="72" xfId="0" applyNumberFormat="1" applyFont="1" applyBorder="1" applyAlignment="1">
      <alignment horizontal="right" vertical="center" wrapText="1"/>
    </xf>
    <xf numFmtId="3" fontId="4" fillId="0" borderId="97" xfId="0" applyNumberFormat="1" applyFont="1" applyBorder="1" applyAlignment="1">
      <alignment horizontal="right" vertical="center" wrapText="1"/>
    </xf>
    <xf numFmtId="3" fontId="4" fillId="0" borderId="82" xfId="0" applyNumberFormat="1" applyFont="1" applyBorder="1" applyAlignment="1">
      <alignment vertical="center" wrapText="1"/>
    </xf>
    <xf numFmtId="3" fontId="4" fillId="0" borderId="97" xfId="0" applyNumberFormat="1" applyFont="1" applyBorder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3" fontId="42" fillId="0" borderId="0" xfId="0" applyNumberFormat="1" applyFont="1" applyAlignment="1">
      <alignment vertical="top" wrapText="1"/>
    </xf>
    <xf numFmtId="0" fontId="44" fillId="0" borderId="83" xfId="0" applyFont="1" applyBorder="1" applyAlignment="1">
      <alignment vertical="top" wrapText="1"/>
    </xf>
    <xf numFmtId="0" fontId="44" fillId="0" borderId="38" xfId="0" applyFont="1" applyBorder="1" applyAlignment="1">
      <alignment vertical="top" wrapText="1"/>
    </xf>
    <xf numFmtId="0" fontId="45" fillId="0" borderId="29" xfId="0" applyFont="1" applyBorder="1" applyAlignment="1">
      <alignment vertical="top" wrapText="1"/>
    </xf>
    <xf numFmtId="0" fontId="46" fillId="0" borderId="39" xfId="0" applyFont="1" applyBorder="1" applyAlignment="1">
      <alignment horizontal="center"/>
    </xf>
    <xf numFmtId="0" fontId="46" fillId="0" borderId="54" xfId="0" applyFont="1" applyBorder="1" applyAlignment="1">
      <alignment horizontal="center" vertical="center"/>
    </xf>
    <xf numFmtId="0" fontId="44" fillId="0" borderId="14" xfId="0" applyFont="1" applyBorder="1" applyAlignment="1">
      <alignment vertical="top" wrapText="1"/>
    </xf>
    <xf numFmtId="3" fontId="46" fillId="0" borderId="32" xfId="0" applyNumberFormat="1" applyFont="1" applyBorder="1" applyAlignment="1">
      <alignment vertical="center"/>
    </xf>
    <xf numFmtId="4" fontId="46" fillId="0" borderId="6" xfId="0" applyNumberFormat="1" applyFont="1" applyBorder="1" applyAlignment="1">
      <alignment vertical="center"/>
    </xf>
    <xf numFmtId="0" fontId="44" fillId="0" borderId="44" xfId="0" applyFont="1" applyBorder="1" applyAlignment="1">
      <alignment vertical="top" wrapText="1"/>
    </xf>
    <xf numFmtId="0" fontId="45" fillId="0" borderId="35" xfId="0" applyFont="1" applyBorder="1" applyAlignment="1">
      <alignment vertical="top" wrapText="1"/>
    </xf>
    <xf numFmtId="0" fontId="46" fillId="0" borderId="36" xfId="0" applyFont="1" applyBorder="1"/>
    <xf numFmtId="0" fontId="44" fillId="0" borderId="34" xfId="0" applyFont="1" applyBorder="1" applyAlignment="1">
      <alignment vertical="top" wrapText="1"/>
    </xf>
    <xf numFmtId="0" fontId="44" fillId="0" borderId="101" xfId="0" applyFont="1" applyBorder="1" applyAlignment="1">
      <alignment vertical="top" wrapText="1"/>
    </xf>
    <xf numFmtId="0" fontId="5" fillId="0" borderId="81" xfId="0" applyFont="1" applyBorder="1" applyAlignment="1">
      <alignment horizontal="center" vertical="center" wrapText="1"/>
    </xf>
    <xf numFmtId="0" fontId="5" fillId="0" borderId="100" xfId="0" applyFont="1" applyBorder="1" applyAlignment="1">
      <alignment horizontal="center" vertical="center" wrapText="1"/>
    </xf>
    <xf numFmtId="0" fontId="5" fillId="0" borderId="79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99" xfId="0" applyFont="1" applyFill="1" applyBorder="1" applyAlignment="1">
      <alignment horizontal="center" vertical="center" wrapText="1"/>
    </xf>
    <xf numFmtId="0" fontId="5" fillId="3" borderId="75" xfId="0" applyFont="1" applyFill="1" applyBorder="1" applyAlignment="1">
      <alignment horizontal="center" vertical="center" wrapText="1"/>
    </xf>
    <xf numFmtId="0" fontId="5" fillId="3" borderId="76" xfId="0" applyFont="1" applyFill="1" applyBorder="1" applyAlignment="1">
      <alignment horizontal="center" vertical="center" wrapText="1"/>
    </xf>
    <xf numFmtId="0" fontId="44" fillId="0" borderId="83" xfId="0" applyFont="1" applyBorder="1" applyAlignment="1">
      <alignment horizontal="left" vertical="top" wrapText="1"/>
    </xf>
    <xf numFmtId="0" fontId="5" fillId="3" borderId="57" xfId="0" applyFont="1" applyFill="1" applyBorder="1" applyAlignment="1">
      <alignment horizontal="right" vertical="center" wrapText="1"/>
    </xf>
    <xf numFmtId="0" fontId="5" fillId="3" borderId="56" xfId="0" applyFont="1" applyFill="1" applyBorder="1" applyAlignment="1">
      <alignment horizontal="right" vertical="center" wrapText="1"/>
    </xf>
    <xf numFmtId="0" fontId="44" fillId="0" borderId="51" xfId="0" applyFont="1" applyBorder="1" applyAlignment="1">
      <alignment horizontal="left" vertical="top" wrapText="1"/>
    </xf>
    <xf numFmtId="0" fontId="44" fillId="0" borderId="85" xfId="0" applyFont="1" applyBorder="1" applyAlignment="1">
      <alignment horizontal="left" vertical="top" wrapText="1"/>
    </xf>
    <xf numFmtId="0" fontId="1" fillId="2" borderId="0" xfId="0" applyFont="1" applyFill="1" applyAlignment="1">
      <alignment vertical="top"/>
    </xf>
    <xf numFmtId="0" fontId="33" fillId="0" borderId="29" xfId="0" applyFont="1" applyBorder="1" applyAlignment="1">
      <alignment horizontal="center"/>
    </xf>
    <xf numFmtId="0" fontId="33" fillId="0" borderId="89" xfId="0" applyFont="1" applyBorder="1" applyAlignment="1">
      <alignment horizontal="center"/>
    </xf>
    <xf numFmtId="0" fontId="33" fillId="0" borderId="90" xfId="0" applyFont="1" applyBorder="1" applyAlignment="1">
      <alignment horizontal="center"/>
    </xf>
    <xf numFmtId="3" fontId="46" fillId="0" borderId="37" xfId="0" applyNumberFormat="1" applyFont="1" applyBorder="1" applyAlignment="1">
      <alignment horizontal="right" vertical="center"/>
    </xf>
    <xf numFmtId="3" fontId="46" fillId="0" borderId="26" xfId="0" applyNumberFormat="1" applyFont="1" applyBorder="1" applyAlignment="1">
      <alignment horizontal="right" vertical="center"/>
    </xf>
    <xf numFmtId="4" fontId="46" fillId="0" borderId="86" xfId="0" applyNumberFormat="1" applyFont="1" applyBorder="1" applyAlignment="1">
      <alignment horizontal="right" vertical="center"/>
    </xf>
    <xf numFmtId="4" fontId="46" fillId="0" borderId="13" xfId="0" applyNumberFormat="1" applyFont="1" applyBorder="1" applyAlignment="1">
      <alignment horizontal="right" vertical="center"/>
    </xf>
    <xf numFmtId="0" fontId="44" fillId="0" borderId="87" xfId="0" applyFont="1" applyBorder="1" applyAlignment="1">
      <alignment horizontal="left" vertical="top" wrapText="1"/>
    </xf>
    <xf numFmtId="0" fontId="44" fillId="0" borderId="88" xfId="0" applyFont="1" applyBorder="1" applyAlignment="1">
      <alignment horizontal="left" vertical="top" wrapText="1"/>
    </xf>
    <xf numFmtId="0" fontId="33" fillId="0" borderId="38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0" fillId="3" borderId="57" xfId="0" applyFont="1" applyFill="1" applyBorder="1" applyAlignment="1">
      <alignment horizontal="center" vertical="center" wrapText="1"/>
    </xf>
    <xf numFmtId="0" fontId="30" fillId="3" borderId="56" xfId="0" applyFont="1" applyFill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3" fontId="7" fillId="0" borderId="63" xfId="0" applyNumberFormat="1" applyFont="1" applyBorder="1" applyAlignment="1">
      <alignment horizontal="right" vertical="center" wrapText="1"/>
    </xf>
    <xf numFmtId="0" fontId="7" fillId="0" borderId="67" xfId="0" applyFont="1" applyBorder="1" applyAlignment="1">
      <alignment horizontal="right" vertical="center" wrapText="1"/>
    </xf>
    <xf numFmtId="0" fontId="33" fillId="0" borderId="5" xfId="0" applyFont="1" applyBorder="1" applyAlignment="1">
      <alignment horizontal="right"/>
    </xf>
    <xf numFmtId="0" fontId="33" fillId="0" borderId="84" xfId="0" applyFont="1" applyBorder="1" applyAlignment="1">
      <alignment horizontal="right"/>
    </xf>
    <xf numFmtId="0" fontId="33" fillId="0" borderId="0" xfId="0" applyFont="1" applyAlignment="1">
      <alignment horizontal="left" vertical="top" wrapText="1"/>
    </xf>
    <xf numFmtId="0" fontId="23" fillId="0" borderId="0" xfId="0" applyFont="1" applyAlignment="1">
      <alignment horizontal="left" wrapText="1"/>
    </xf>
    <xf numFmtId="0" fontId="6" fillId="2" borderId="0" xfId="0" applyFont="1" applyFill="1" applyAlignment="1">
      <alignment vertical="top"/>
    </xf>
    <xf numFmtId="0" fontId="5" fillId="5" borderId="7" xfId="0" applyFont="1" applyFill="1" applyBorder="1" applyAlignment="1">
      <alignment vertical="top"/>
    </xf>
    <xf numFmtId="0" fontId="5" fillId="5" borderId="4" xfId="0" applyFont="1" applyFill="1" applyBorder="1" applyAlignment="1">
      <alignment vertical="top"/>
    </xf>
    <xf numFmtId="0" fontId="24" fillId="0" borderId="46" xfId="0" applyFont="1" applyBorder="1" applyAlignment="1">
      <alignment horizontal="left" wrapText="1"/>
    </xf>
    <xf numFmtId="4" fontId="0" fillId="2" borderId="37" xfId="0" applyNumberFormat="1" applyFill="1" applyBorder="1" applyAlignment="1">
      <alignment horizontal="center" vertical="top" wrapText="1"/>
    </xf>
    <xf numFmtId="4" fontId="0" fillId="2" borderId="8" xfId="0" applyNumberFormat="1" applyFill="1" applyBorder="1" applyAlignment="1">
      <alignment horizontal="center" vertical="top" wrapText="1"/>
    </xf>
    <xf numFmtId="4" fontId="0" fillId="2" borderId="3" xfId="0" applyNumberFormat="1" applyFill="1" applyBorder="1" applyAlignment="1">
      <alignment horizontal="center" vertical="top" wrapText="1"/>
    </xf>
    <xf numFmtId="0" fontId="5" fillId="2" borderId="38" xfId="0" applyFont="1" applyFill="1" applyBorder="1" applyAlignment="1">
      <alignment horizontal="center" vertical="top"/>
    </xf>
    <xf numFmtId="0" fontId="5" fillId="2" borderId="42" xfId="0" applyFont="1" applyFill="1" applyBorder="1" applyAlignment="1">
      <alignment horizontal="center" vertical="top"/>
    </xf>
    <xf numFmtId="0" fontId="12" fillId="3" borderId="37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9" fillId="7" borderId="0" xfId="0" applyFont="1" applyFill="1" applyAlignment="1">
      <alignment horizontal="left" vertical="top" wrapText="1"/>
    </xf>
    <xf numFmtId="0" fontId="29" fillId="3" borderId="33" xfId="0" applyFont="1" applyFill="1" applyBorder="1" applyAlignment="1">
      <alignment horizontal="center" vertical="center"/>
    </xf>
    <xf numFmtId="0" fontId="29" fillId="3" borderId="51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top"/>
    </xf>
    <xf numFmtId="0" fontId="10" fillId="2" borderId="40" xfId="0" applyFont="1" applyFill="1" applyBorder="1" applyAlignment="1">
      <alignment horizontal="center" vertical="top" wrapText="1"/>
    </xf>
    <xf numFmtId="0" fontId="10" fillId="2" borderId="41" xfId="0" applyFont="1" applyFill="1" applyBorder="1" applyAlignment="1">
      <alignment horizontal="center" vertical="top" wrapText="1"/>
    </xf>
    <xf numFmtId="0" fontId="3" fillId="2" borderId="25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5" fillId="2" borderId="25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25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4" fontId="22" fillId="0" borderId="1" xfId="0" applyNumberFormat="1" applyFont="1" applyBorder="1" applyAlignment="1">
      <alignment vertical="top"/>
    </xf>
    <xf numFmtId="0" fontId="0" fillId="0" borderId="0" xfId="0" applyFont="1"/>
    <xf numFmtId="4" fontId="0" fillId="0" borderId="1" xfId="0" applyNumberFormat="1" applyFont="1" applyBorder="1" applyAlignment="1">
      <alignment vertical="top"/>
    </xf>
  </cellXfs>
  <cellStyles count="5">
    <cellStyle name="Обычный" xfId="0" builtinId="0"/>
    <cellStyle name="Обычный 2" xfId="1" xr:uid="{C0763CE8-DB5A-41E8-BDD2-2C5F80C0B74A}"/>
    <cellStyle name="Обычный 3" xfId="2" xr:uid="{5ECDC201-8CA8-4A3B-BDAE-96D8D8F662E2}"/>
    <cellStyle name="Обычный 3 2" xfId="3" xr:uid="{E091C3BA-9C18-423C-9B2D-058C5F66A0F3}"/>
    <cellStyle name="Финансовый 2" xfId="4" xr:uid="{2AB6E99D-FAB4-492F-908D-C63C2979EF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&#1057;&#1086;&#1073;&#1088;&#1072;&#1085;&#1080;&#1077;%2013.06.25/&#1057;&#1084;&#1077;&#1090;&#1072;+&#1060;&#1069;&#1054;%202024-2025%20&#1087;&#1086;%20&#1080;&#1090;&#1086;&#1075;&#1091;%20&#1054;&#1057;&#1057;%2025.08.24%20&#1087;&#1086;%20&#1055;&#1088;&#1086;&#1090;&#1086;&#1082;&#1086;&#1083;%209%20&#1086;&#1090;%2025.08.24.xlsx" TargetMode="External"/><Relationship Id="rId2" Type="http://schemas.openxmlformats.org/officeDocument/2006/relationships/externalLinkPath" Target="file:///C:\Users\User\Desktop\&#1056;&#1072;&#1079;&#1076;&#1086;&#1083;&#1100;&#1077;\&#1055;&#1056;&#1054;&#1058;&#1054;&#1050;&#1054;&#1051;&#1067;\&#1057;&#1086;&#1073;&#1088;&#1072;&#1085;&#1080;&#1077;%2013.06.25\&#1057;&#1084;&#1077;&#1090;&#1072;+&#1060;&#1069;&#1054;%202024-2025%20&#1087;&#1086;%20&#1080;&#1090;&#1086;&#1075;&#1091;%20&#1054;&#1057;&#1057;%2025.08.24%20&#1087;&#1086;%20&#1055;&#1088;&#1086;&#1090;&#1086;&#1082;&#1086;&#1083;%209%20&#1086;&#1090;%2025.08.24.xlsx" TargetMode="External"/><Relationship Id="rId1" Type="http://schemas.openxmlformats.org/officeDocument/2006/relationships/externalLinkPath" Target="/Users/User/Desktop/&#1056;&#1072;&#1079;&#1076;&#1086;&#1083;&#1100;&#1077;/&#1055;&#1056;&#1054;&#1058;&#1054;&#1050;&#1054;&#1051;&#1067;/&#1057;&#1086;&#1073;&#1088;&#1072;&#1085;&#1080;&#1077;%2013.06.25/&#1057;&#1084;&#1077;&#1090;&#1072;+&#1060;&#1069;&#1054;%202024-2025%20&#1087;&#1086;%20&#1080;&#1090;&#1086;&#1075;&#1091;%20&#1054;&#1057;&#1057;%2025.08.24%20&#1087;&#1086;%20&#1055;&#1088;&#1086;&#1090;&#1086;&#1082;&#1086;&#1083;%209%20&#1086;&#1090;%2025.08.24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&#1057;&#1086;&#1073;&#1088;&#1072;&#1085;&#1080;&#1077;%2025.08.24_&#1055;&#1088;&#1086;&#1090;&#1086;&#1082;&#1086;&#1083;%209%20&#1086;&#1090;%2025.08.24/&#1057;&#1084;&#1077;&#1090;&#1072;+&#1060;&#1069;&#1054;%202024-2025%20&#1087;&#1086;%20&#1080;&#1090;&#1086;&#1075;&#1091;%20&#1054;&#1057;&#1057;%2025.08.24%20&#1087;&#1086;%20&#1055;&#1088;&#1086;&#1090;&#1086;&#1082;&#1086;&#1083;%209%20&#1086;&#1090;%2025.08.24.xlsx" TargetMode="External"/><Relationship Id="rId2" Type="http://schemas.openxmlformats.org/officeDocument/2006/relationships/externalLinkPath" Target="file:///C:\Users\User\Desktop\&#1056;&#1072;&#1079;&#1076;&#1086;&#1083;&#1100;&#1077;\&#1055;&#1056;&#1054;&#1058;&#1054;&#1050;&#1054;&#1051;&#1067;\&#1057;&#1086;&#1073;&#1088;&#1072;&#1085;&#1080;&#1077;%2025.08.24_&#1055;&#1088;&#1086;&#1090;&#1086;&#1082;&#1086;&#1083;%209%20&#1086;&#1090;%2025.08.24\&#1057;&#1084;&#1077;&#1090;&#1072;+&#1060;&#1069;&#1054;%202024-2025%20&#1087;&#1086;%20&#1080;&#1090;&#1086;&#1075;&#1091;%20&#1054;&#1057;&#1057;%2025.08.24%20&#1087;&#1086;%20&#1055;&#1088;&#1086;&#1090;&#1086;&#1082;&#1086;&#1083;%209%20&#1086;&#1090;%2025.08.24.xlsx" TargetMode="External"/><Relationship Id="rId1" Type="http://schemas.openxmlformats.org/officeDocument/2006/relationships/externalLinkPath" Target="/Users/User/Desktop/&#1056;&#1072;&#1079;&#1076;&#1086;&#1083;&#1100;&#1077;/&#1055;&#1056;&#1054;&#1058;&#1054;&#1050;&#1054;&#1051;&#1067;/&#1057;&#1086;&#1073;&#1088;&#1072;&#1085;&#1080;&#1077;%2025.08.24_&#1055;&#1088;&#1086;&#1090;&#1086;&#1082;&#1086;&#1083;%209%20&#1086;&#1090;%2025.08.24/&#1057;&#1084;&#1077;&#1090;&#1072;+&#1060;&#1069;&#1054;%202024-2025%20&#1087;&#1086;%20&#1080;&#1090;&#1086;&#1075;&#1091;%20&#1054;&#1057;&#1057;%2025.08.24%20&#1087;&#1086;%20&#1055;&#1088;&#1086;&#1090;&#1086;&#1082;&#1086;&#1083;%209%20&#1086;&#1090;%2025.08.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Смета 2024-2025"/>
      <sheetName val="ФЭО к смете 2024-2025_v2"/>
      <sheetName val="ФЭО к смете 2024-2025_v2 (2)"/>
    </sheetNames>
    <sheetDataSet>
      <sheetData sheetId="0" refreshError="1"/>
      <sheetData sheetId="1">
        <row r="2">
          <cell r="M2">
            <v>1094.1099999999999</v>
          </cell>
          <cell r="N2">
            <v>1783.25</v>
          </cell>
          <cell r="O2">
            <v>2877.3599999999997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Смета 2024-2025"/>
      <sheetName val="ФЭО к смете 2024-2025_v2"/>
    </sheetNames>
    <sheetDataSet>
      <sheetData sheetId="0">
        <row r="64">
          <cell r="C64">
            <v>1640.9268269604802</v>
          </cell>
          <cell r="D64">
            <v>551.91674185899365</v>
          </cell>
          <cell r="E64">
            <v>2192.8435688194741</v>
          </cell>
        </row>
        <row r="65">
          <cell r="C65">
            <v>1079.7401089887953</v>
          </cell>
          <cell r="D65">
            <v>406.0801197614785</v>
          </cell>
          <cell r="E65">
            <v>1485.8202287502738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1BB58-4FF1-4FA8-8A5F-625810EBFFE9}">
  <dimension ref="A2:G95"/>
  <sheetViews>
    <sheetView tabSelected="1" topLeftCell="A30" zoomScale="80" zoomScaleNormal="80" workbookViewId="0">
      <selection activeCell="B40" sqref="B40:C40"/>
    </sheetView>
  </sheetViews>
  <sheetFormatPr defaultRowHeight="14.4" x14ac:dyDescent="0.3"/>
  <cols>
    <col min="1" max="1" width="9" customWidth="1"/>
    <col min="2" max="2" width="44.33203125" customWidth="1"/>
    <col min="3" max="3" width="11.44140625" customWidth="1"/>
    <col min="4" max="4" width="11.88671875" customWidth="1"/>
    <col min="5" max="5" width="11.44140625" customWidth="1"/>
    <col min="6" max="6" width="12.44140625" customWidth="1"/>
  </cols>
  <sheetData>
    <row r="2" spans="1:6" ht="15.6" x14ac:dyDescent="0.3">
      <c r="A2" s="4"/>
      <c r="B2" s="272" t="s">
        <v>163</v>
      </c>
      <c r="C2" s="153"/>
      <c r="D2" s="154"/>
      <c r="E2" s="154"/>
      <c r="F2" s="4"/>
    </row>
    <row r="3" spans="1:6" x14ac:dyDescent="0.3">
      <c r="A3" s="5"/>
      <c r="B3" s="5"/>
      <c r="C3" s="5"/>
      <c r="D3" s="6"/>
      <c r="E3" s="155"/>
      <c r="F3" s="5"/>
    </row>
    <row r="4" spans="1:6" x14ac:dyDescent="0.3">
      <c r="B4" s="156"/>
      <c r="C4" s="156"/>
      <c r="D4" s="156"/>
      <c r="E4" s="157" t="s">
        <v>110</v>
      </c>
    </row>
    <row r="5" spans="1:6" ht="15" thickBot="1" x14ac:dyDescent="0.35">
      <c r="B5" s="156"/>
      <c r="C5" s="156"/>
      <c r="D5" s="156"/>
      <c r="E5" s="157" t="s">
        <v>164</v>
      </c>
    </row>
    <row r="6" spans="1:6" ht="15" thickBot="1" x14ac:dyDescent="0.35">
      <c r="A6" s="294" t="s">
        <v>98</v>
      </c>
      <c r="B6" s="295"/>
      <c r="C6" s="296"/>
      <c r="D6" s="227"/>
      <c r="E6" s="228"/>
    </row>
    <row r="7" spans="1:6" ht="29.4" thickBot="1" x14ac:dyDescent="0.35">
      <c r="A7" s="225"/>
      <c r="B7" s="297" t="s">
        <v>99</v>
      </c>
      <c r="C7" s="298"/>
      <c r="D7" s="226" t="s">
        <v>25</v>
      </c>
      <c r="E7" s="226" t="s">
        <v>26</v>
      </c>
    </row>
    <row r="8" spans="1:6" ht="15" thickBot="1" x14ac:dyDescent="0.35">
      <c r="A8" s="174">
        <f>'ФЭО к смете 2026-2027'!A21</f>
        <v>1</v>
      </c>
      <c r="B8" s="175" t="str">
        <f>'ФЭО к смете 2026-2027'!B21</f>
        <v>Оклад Председателя ТСН, включая НДФЛ 13%</v>
      </c>
      <c r="C8" s="178">
        <f>'ФЭО к смете 2026-2027'!F21</f>
        <v>345000</v>
      </c>
      <c r="D8" s="176">
        <f>C8/'1'!D$2*'1'!B$2</f>
        <v>128963.09731157118</v>
      </c>
      <c r="E8" s="176">
        <f>C8/'1'!D$2*'1'!C$2</f>
        <v>216036.90268842879</v>
      </c>
    </row>
    <row r="9" spans="1:6" ht="15" thickBot="1" x14ac:dyDescent="0.35">
      <c r="A9" s="174">
        <f>'ФЭО к смете 2026-2027'!A22</f>
        <v>2</v>
      </c>
      <c r="B9" s="175" t="str">
        <f>'ФЭО к смете 2026-2027'!B22</f>
        <v>Налоги ФОТ</v>
      </c>
      <c r="C9" s="178">
        <f>'ФЭО к смете 2026-2027'!F22</f>
        <v>104190</v>
      </c>
      <c r="D9" s="176">
        <f>C9/'1'!D$2*'1'!B$2</f>
        <v>38946.855388094496</v>
      </c>
      <c r="E9" s="176">
        <f>C9/'1'!D$2*'1'!C$2</f>
        <v>65243.144611905489</v>
      </c>
    </row>
    <row r="10" spans="1:6" ht="15" thickBot="1" x14ac:dyDescent="0.35">
      <c r="A10" s="174">
        <f>'ФЭО к смете 2026-2027'!A23</f>
        <v>3</v>
      </c>
      <c r="B10" s="175" t="str">
        <f>'ФЭО к смете 2026-2027'!B23</f>
        <v>Услуги консьержа</v>
      </c>
      <c r="C10" s="178">
        <f>'ФЭО к смете 2026-2027'!F23</f>
        <v>888000</v>
      </c>
      <c r="D10" s="176">
        <f>C10/'1'!D$2*'1'!B$2</f>
        <v>331939.79829760932</v>
      </c>
      <c r="E10" s="176">
        <f>C10/'1'!D$2*'1'!C$2</f>
        <v>556060.20170239068</v>
      </c>
    </row>
    <row r="11" spans="1:6" ht="15" customHeight="1" thickBot="1" x14ac:dyDescent="0.35">
      <c r="A11" s="174">
        <f>'ФЭО к смете 2026-2027'!A24</f>
        <v>4</v>
      </c>
      <c r="B11" s="175" t="str">
        <f>'ФЭО к смете 2026-2027'!B24</f>
        <v>Работы по поселку</v>
      </c>
      <c r="C11" s="178">
        <f>'ФЭО к смете 2026-2027'!F24</f>
        <v>240000</v>
      </c>
      <c r="D11" s="176">
        <f>C11/'1'!D$2*'1'!B$2</f>
        <v>89713.458999353868</v>
      </c>
      <c r="E11" s="176">
        <f>C11/'1'!D$2*'1'!C$2</f>
        <v>150286.5410006461</v>
      </c>
    </row>
    <row r="12" spans="1:6" ht="15" thickBot="1" x14ac:dyDescent="0.35">
      <c r="A12" s="174">
        <f>'ФЭО к смете 2026-2027'!A25</f>
        <v>5</v>
      </c>
      <c r="B12" s="175" t="str">
        <f>'ФЭО к смете 2026-2027'!B25</f>
        <v>ПП 1С.Садовод</v>
      </c>
      <c r="C12" s="178">
        <f>'ФЭО к смете 2026-2027'!F25</f>
        <v>40000</v>
      </c>
      <c r="D12" s="176">
        <f>C12/'1'!D$2*'1'!B$2</f>
        <v>14952.243166558977</v>
      </c>
      <c r="E12" s="176">
        <f>C12/'1'!D$2*'1'!C$2</f>
        <v>25047.756833441017</v>
      </c>
    </row>
    <row r="13" spans="1:6" ht="15" thickBot="1" x14ac:dyDescent="0.35">
      <c r="A13" s="174">
        <f>'ФЭО к смете 2026-2027'!A26</f>
        <v>6</v>
      </c>
      <c r="B13" s="175" t="str">
        <f>'ФЭО к смете 2026-2027'!B26</f>
        <v>Бухгалтерское обслуживание</v>
      </c>
      <c r="C13" s="178">
        <f>'ФЭО к смете 2026-2027'!F26</f>
        <v>360000</v>
      </c>
      <c r="D13" s="176">
        <f>C13/'1'!D$2*'1'!B$2</f>
        <v>134570.1884990308</v>
      </c>
      <c r="E13" s="176">
        <f>C13/'1'!D$2*'1'!C$2</f>
        <v>225429.81150096917</v>
      </c>
    </row>
    <row r="14" spans="1:6" ht="15" thickBot="1" x14ac:dyDescent="0.35">
      <c r="A14" s="174">
        <f>'ФЭО к смете 2026-2027'!A27</f>
        <v>7</v>
      </c>
      <c r="B14" s="175" t="str">
        <f>'ФЭО к смете 2026-2027'!B27</f>
        <v>Обслуживание домена</v>
      </c>
      <c r="C14" s="178">
        <f>'ФЭО к смете 2026-2027'!F27</f>
        <v>15000</v>
      </c>
      <c r="D14" s="176">
        <f>C14/'1'!D$2*'1'!B$2</f>
        <v>5607.0911874596168</v>
      </c>
      <c r="E14" s="176">
        <f>C14/'1'!D$2*'1'!C$2</f>
        <v>9392.9088125403814</v>
      </c>
    </row>
    <row r="15" spans="1:6" ht="15" thickBot="1" x14ac:dyDescent="0.35">
      <c r="A15" s="174">
        <f>'ФЭО к смете 2026-2027'!A28</f>
        <v>8</v>
      </c>
      <c r="B15" s="175" t="str">
        <f>'ФЭО к смете 2026-2027'!B28</f>
        <v>Обслуживание р/с (банк), ЭЦП</v>
      </c>
      <c r="C15" s="178">
        <f>'ФЭО к смете 2026-2027'!F28</f>
        <v>86500</v>
      </c>
      <c r="D15" s="176">
        <f>C15/'1'!D$2*'1'!B$2</f>
        <v>32334.225847683792</v>
      </c>
      <c r="E15" s="176">
        <f>C15/'1'!D$2*'1'!C$2</f>
        <v>54165.774152316204</v>
      </c>
    </row>
    <row r="16" spans="1:6" ht="15" thickBot="1" x14ac:dyDescent="0.35">
      <c r="A16" s="174">
        <f>'ФЭО к смете 2026-2027'!A29</f>
        <v>9</v>
      </c>
      <c r="B16" s="175" t="str">
        <f>'ФЭО к смете 2026-2027'!B29</f>
        <v>Нотариальные услуги/регистрационные услуги</v>
      </c>
      <c r="C16" s="178">
        <f>'ФЭО к смете 2026-2027'!F29</f>
        <v>70000</v>
      </c>
      <c r="D16" s="176">
        <f>C16/'1'!D$2*'1'!B$2</f>
        <v>26166.425541478213</v>
      </c>
      <c r="E16" s="176">
        <f>C16/'1'!D$2*'1'!C$2</f>
        <v>43833.574458521784</v>
      </c>
    </row>
    <row r="17" spans="1:5" ht="15" thickBot="1" x14ac:dyDescent="0.35">
      <c r="A17" s="174">
        <f>'ФЭО к смете 2026-2027'!A30</f>
        <v>10</v>
      </c>
      <c r="B17" s="175" t="str">
        <f>'ФЭО к смете 2026-2027'!B30</f>
        <v>Услуги Почты России</v>
      </c>
      <c r="C17" s="178">
        <f>'ФЭО к смете 2026-2027'!F30</f>
        <v>100000</v>
      </c>
      <c r="D17" s="176">
        <f>C17/'1'!D$2*'1'!B$2</f>
        <v>37380.607916397443</v>
      </c>
      <c r="E17" s="176">
        <f>C17/'1'!D$2*'1'!C$2</f>
        <v>62619.392083602543</v>
      </c>
    </row>
    <row r="18" spans="1:5" ht="15" thickBot="1" x14ac:dyDescent="0.35">
      <c r="A18" s="174">
        <f>'ФЭО к смете 2026-2027'!A31</f>
        <v>11</v>
      </c>
      <c r="B18" s="175" t="str">
        <f>'ФЭО к смете 2026-2027'!B31</f>
        <v>Адвокат (судебные дела + суды с должниками)</v>
      </c>
      <c r="C18" s="178">
        <f>'ФЭО к смете 2026-2027'!F31</f>
        <v>500000</v>
      </c>
      <c r="D18" s="176">
        <f>C18/'1'!D$2*'1'!B$2</f>
        <v>186903.03958198725</v>
      </c>
      <c r="E18" s="176">
        <f>C18/'1'!D$2*'1'!C$2</f>
        <v>313096.96041801275</v>
      </c>
    </row>
    <row r="19" spans="1:5" ht="15" thickBot="1" x14ac:dyDescent="0.35">
      <c r="A19" s="174">
        <f>'ФЭО к смете 2026-2027'!A32</f>
        <v>12</v>
      </c>
      <c r="B19" s="175" t="str">
        <f>'ФЭО к смете 2026-2027'!B32</f>
        <v>Хоз. нужды, инвентарь</v>
      </c>
      <c r="C19" s="178">
        <f>'ФЭО к смете 2026-2027'!F32</f>
        <v>120000</v>
      </c>
      <c r="D19" s="176">
        <f>C19/'1'!D$2*'1'!B$2</f>
        <v>44856.729499676934</v>
      </c>
      <c r="E19" s="176">
        <f>C19/'1'!D$2*'1'!C$2</f>
        <v>75143.270500323051</v>
      </c>
    </row>
    <row r="20" spans="1:5" ht="15" thickBot="1" x14ac:dyDescent="0.35">
      <c r="A20" s="174">
        <f>'ФЭО к смете 2026-2027'!A33</f>
        <v>13</v>
      </c>
      <c r="B20" s="175" t="str">
        <f>'ФЭО к смете 2026-2027'!B33</f>
        <v>Замена ламп освещения</v>
      </c>
      <c r="C20" s="178">
        <f>'ФЭО к смете 2026-2027'!F33</f>
        <v>300000</v>
      </c>
      <c r="D20" s="176">
        <f>C20</f>
        <v>300000</v>
      </c>
      <c r="E20" s="176">
        <v>0</v>
      </c>
    </row>
    <row r="21" spans="1:5" ht="15" thickBot="1" x14ac:dyDescent="0.35">
      <c r="A21" s="174" t="str">
        <f>'ФЭО к смете 2026-2027'!A34</f>
        <v xml:space="preserve">    14.1</v>
      </c>
      <c r="B21" s="175" t="str">
        <f>'ФЭО к смете 2026-2027'!B34</f>
        <v>эл-во уличное (1-я оч)</v>
      </c>
      <c r="C21" s="178">
        <f>'ФЭО к смете 2026-2027'!F34</f>
        <v>204000</v>
      </c>
      <c r="D21" s="176">
        <f>C21</f>
        <v>204000</v>
      </c>
      <c r="E21" s="176">
        <v>0</v>
      </c>
    </row>
    <row r="22" spans="1:5" ht="15" thickBot="1" x14ac:dyDescent="0.35">
      <c r="A22" s="174" t="str">
        <f>'ФЭО к смете 2026-2027'!A35</f>
        <v xml:space="preserve">    14.2</v>
      </c>
      <c r="B22" s="175" t="str">
        <f>'ФЭО к смете 2026-2027'!B35</f>
        <v>эл-во адм зданий</v>
      </c>
      <c r="C22" s="178">
        <f>'ФЭО к смете 2026-2027'!F35</f>
        <v>180000</v>
      </c>
      <c r="D22" s="176">
        <f>C22/'1'!D$2*'1'!B$2</f>
        <v>67285.094249515401</v>
      </c>
      <c r="E22" s="176">
        <f>C22/'1'!D$2*'1'!C$2</f>
        <v>112714.90575048458</v>
      </c>
    </row>
    <row r="23" spans="1:5" ht="15" thickBot="1" x14ac:dyDescent="0.35">
      <c r="A23" s="174" t="str">
        <f>'ФЭО к смете 2026-2027'!A36</f>
        <v xml:space="preserve">    14.3</v>
      </c>
      <c r="B23" s="175" t="str">
        <f>'ФЭО к смете 2026-2027'!B36</f>
        <v>Потери в эл. сетях (1-я оч)</v>
      </c>
      <c r="C23" s="178">
        <f>'ФЭО к смете 2026-2027'!F36</f>
        <v>360000</v>
      </c>
      <c r="D23" s="273">
        <f>C23</f>
        <v>360000</v>
      </c>
      <c r="E23" s="273">
        <v>0</v>
      </c>
    </row>
    <row r="24" spans="1:5" ht="29.4" thickBot="1" x14ac:dyDescent="0.35">
      <c r="A24" s="174" t="str">
        <f>'ФЭО к смете 2026-2027'!A37</f>
        <v>14.4.</v>
      </c>
      <c r="B24" s="175" t="str">
        <f>'ФЭО к смете 2026-2027'!B37</f>
        <v>Резерв (пополнение). Обслуживание трансформатора (1-я очередь)</v>
      </c>
      <c r="C24" s="274">
        <f>'ФЭО к смете 2026-2027'!F37</f>
        <v>50000</v>
      </c>
      <c r="D24" s="275">
        <f>C24</f>
        <v>50000</v>
      </c>
      <c r="E24" s="276"/>
    </row>
    <row r="25" spans="1:5" ht="15" thickBot="1" x14ac:dyDescent="0.35">
      <c r="A25" s="174">
        <f>'ФЭО к смете 2026-2027'!A38</f>
        <v>15</v>
      </c>
      <c r="B25" s="175" t="str">
        <f>'ФЭО к смете 2026-2027'!B38</f>
        <v>Вывоз мусора*</v>
      </c>
      <c r="C25" s="178">
        <f>'ФЭО к смете 2026-2027'!F38</f>
        <v>281380</v>
      </c>
      <c r="D25" s="176">
        <f>C25/58*48</f>
        <v>232866.20689655174</v>
      </c>
      <c r="E25" s="176">
        <f>C25/58*10</f>
        <v>48513.793103448275</v>
      </c>
    </row>
    <row r="26" spans="1:5" ht="15" thickBot="1" x14ac:dyDescent="0.35">
      <c r="A26" s="174">
        <f>'ФЭО к смете 2026-2027'!A39</f>
        <v>16</v>
      </c>
      <c r="B26" s="175" t="str">
        <f>'ФЭО к смете 2026-2027'!B39</f>
        <v>Услуги ассенизатора, химия</v>
      </c>
      <c r="C26" s="178">
        <f>'ФЭО к смете 2026-2027'!F39</f>
        <v>44000</v>
      </c>
      <c r="D26" s="176">
        <f>C26/'1'!D$2*'1'!B$2</f>
        <v>16447.467483214878</v>
      </c>
      <c r="E26" s="176">
        <f>C26/'1'!D$2*'1'!C$2</f>
        <v>27552.532516785119</v>
      </c>
    </row>
    <row r="27" spans="1:5" ht="15" thickBot="1" x14ac:dyDescent="0.35">
      <c r="A27" s="174">
        <f>'ФЭО к смете 2026-2027'!A40</f>
        <v>17</v>
      </c>
      <c r="B27" s="175" t="str">
        <f>'ФЭО к смете 2026-2027'!B40</f>
        <v>Офисные расходы</v>
      </c>
      <c r="C27" s="178">
        <f>'ФЭО к смете 2026-2027'!F40</f>
        <v>24000</v>
      </c>
      <c r="D27" s="176">
        <f>C27/'1'!D$2*'1'!B$2</f>
        <v>8971.3458999353879</v>
      </c>
      <c r="E27" s="176">
        <f>C27/'1'!D$2*'1'!C$2</f>
        <v>15028.654100064612</v>
      </c>
    </row>
    <row r="28" spans="1:5" ht="15" thickBot="1" x14ac:dyDescent="0.35">
      <c r="A28" s="174">
        <f>'ФЭО к смете 2026-2027'!A41</f>
        <v>18</v>
      </c>
      <c r="B28" s="175" t="str">
        <f>'ФЭО к смете 2026-2027'!B41</f>
        <v>Покос обочин</v>
      </c>
      <c r="C28" s="178">
        <f>'ФЭО к смете 2026-2027'!F41</f>
        <v>90000</v>
      </c>
      <c r="D28" s="176">
        <f>C28/'1'!D$2*'1'!B$2</f>
        <v>33642.547124757701</v>
      </c>
      <c r="E28" s="176">
        <f>C28/'1'!D$2*'1'!C$2</f>
        <v>56357.452875242292</v>
      </c>
    </row>
    <row r="29" spans="1:5" ht="15" thickBot="1" x14ac:dyDescent="0.35">
      <c r="A29" s="174">
        <f>'ФЭО к смете 2026-2027'!A42</f>
        <v>19</v>
      </c>
      <c r="B29" s="175" t="str">
        <f>'ФЭО к смете 2026-2027'!B42</f>
        <v>Ремонт дорог (ямочный) 1-я очередь</v>
      </c>
      <c r="C29" s="178">
        <f>'ФЭО к смете 2026-2027'!F42</f>
        <v>196500</v>
      </c>
      <c r="D29" s="273">
        <f>C29</f>
        <v>196500</v>
      </c>
      <c r="E29" s="176">
        <v>0</v>
      </c>
    </row>
    <row r="30" spans="1:5" ht="29.4" thickBot="1" x14ac:dyDescent="0.35">
      <c r="A30" s="174">
        <f>'ФЭО к смете 2026-2027'!A43</f>
        <v>20</v>
      </c>
      <c r="B30" s="175" t="str">
        <f>'ФЭО к смете 2026-2027'!B43</f>
        <v>Ремонт дорог (ямочный) 2-я очередь общая дорога (до уч 86(А)</v>
      </c>
      <c r="C30" s="178">
        <f>'ФЭО к смете 2026-2027'!F43</f>
        <v>196500</v>
      </c>
      <c r="D30" s="176">
        <v>0</v>
      </c>
      <c r="E30" s="176">
        <f>C30</f>
        <v>196500</v>
      </c>
    </row>
    <row r="31" spans="1:5" ht="15" thickBot="1" x14ac:dyDescent="0.35">
      <c r="A31" s="174">
        <f>'ФЭО к смете 2026-2027'!A44</f>
        <v>21</v>
      </c>
      <c r="B31" s="175" t="str">
        <f>'ФЭО к смете 2026-2027'!B44</f>
        <v>Уборка снега 1-я очередь</v>
      </c>
      <c r="C31" s="178">
        <f>'ФЭО к смете 2026-2027'!F44</f>
        <v>375000</v>
      </c>
      <c r="D31" s="176">
        <f>C31</f>
        <v>375000</v>
      </c>
      <c r="E31" s="176">
        <v>0</v>
      </c>
    </row>
    <row r="32" spans="1:5" ht="30" customHeight="1" thickBot="1" x14ac:dyDescent="0.35">
      <c r="A32" s="174">
        <f>'ФЭО к смете 2026-2027'!A45</f>
        <v>22</v>
      </c>
      <c r="B32" s="175" t="str">
        <f>'ФЭО к смете 2026-2027'!B45</f>
        <v xml:space="preserve">Уборка снега 2-я очередь (общая дорога до уч 86(А) </v>
      </c>
      <c r="C32" s="178">
        <f>'ФЭО к смете 2026-2027'!F45</f>
        <v>200000</v>
      </c>
      <c r="D32" s="277">
        <v>0</v>
      </c>
      <c r="E32" s="276">
        <f>C32</f>
        <v>200000</v>
      </c>
    </row>
    <row r="33" spans="1:6" ht="29.4" thickBot="1" x14ac:dyDescent="0.35">
      <c r="A33" s="174">
        <f>'ФЭО к смете 2026-2027'!A46</f>
        <v>23</v>
      </c>
      <c r="B33" s="175" t="str">
        <f>'ФЭО к смете 2026-2027'!B46</f>
        <v>Уборка снега 2-я очередь по улицам к уч.99, 111 (120), 144, 156)**</v>
      </c>
      <c r="C33" s="178">
        <f>'ФЭО к смете 2026-2027'!F46</f>
        <v>40000</v>
      </c>
      <c r="D33" s="176">
        <v>0</v>
      </c>
      <c r="E33" s="176">
        <f>C33</f>
        <v>40000</v>
      </c>
    </row>
    <row r="34" spans="1:6" ht="15" thickBot="1" x14ac:dyDescent="0.35">
      <c r="A34" s="174">
        <f>'ФЭО к смете 2026-2027'!A47</f>
        <v>24</v>
      </c>
      <c r="B34" s="175" t="str">
        <f>'ФЭО к смете 2026-2027'!B47</f>
        <v>Ливневки 1-я очередь</v>
      </c>
      <c r="C34" s="178">
        <f>'ФЭО к смете 2026-2027'!F47</f>
        <v>593000</v>
      </c>
      <c r="D34" s="176">
        <f>C34</f>
        <v>593000</v>
      </c>
      <c r="E34" s="176">
        <v>0</v>
      </c>
    </row>
    <row r="35" spans="1:6" ht="15" thickBot="1" x14ac:dyDescent="0.35">
      <c r="A35" s="174">
        <f>'ФЭО к смете 2026-2027'!A48</f>
        <v>25</v>
      </c>
      <c r="B35" s="175" t="str">
        <f>'ФЭО к смете 2026-2027'!B48</f>
        <v>Ремонт дороги 2-я очередь (отсыпка щебнем)</v>
      </c>
      <c r="C35" s="178">
        <f>'ФЭО к смете 2026-2027'!F48</f>
        <v>1567000</v>
      </c>
      <c r="D35" s="176">
        <v>0</v>
      </c>
      <c r="E35" s="176">
        <f>C35</f>
        <v>1567000</v>
      </c>
    </row>
    <row r="36" spans="1:6" ht="15" thickBot="1" x14ac:dyDescent="0.35">
      <c r="A36" s="174">
        <f>'ФЭО к смете 2026-2027'!A49</f>
        <v>26</v>
      </c>
      <c r="B36" s="175" t="str">
        <f>'ФЭО к смете 2026-2027'!B49</f>
        <v>Земельный налог</v>
      </c>
      <c r="C36" s="178">
        <f>'ФЭО к смете 2026-2027'!F49</f>
        <v>120000</v>
      </c>
      <c r="D36" s="176">
        <f>C36/'1'!D$2*'1'!B$2</f>
        <v>44856.729499676934</v>
      </c>
      <c r="E36" s="176">
        <f>C36/'1'!D$2*'1'!C$2</f>
        <v>75143.270500323051</v>
      </c>
    </row>
    <row r="37" spans="1:6" ht="15" thickBot="1" x14ac:dyDescent="0.35">
      <c r="A37" s="174">
        <f>'ФЭО к смете 2026-2027'!A50</f>
        <v>27</v>
      </c>
      <c r="B37" s="175" t="str">
        <f>'ФЭО к смете 2026-2027'!B50</f>
        <v>Cотовая связь</v>
      </c>
      <c r="C37" s="178">
        <f>'ФЭО к смете 2026-2027'!F50</f>
        <v>24000</v>
      </c>
      <c r="D37" s="176">
        <f>C37/'1'!D$2*'1'!B$2</f>
        <v>8971.3458999353879</v>
      </c>
      <c r="E37" s="176">
        <f>C37/'1'!D$2*'1'!C$2</f>
        <v>15028.654100064612</v>
      </c>
    </row>
    <row r="38" spans="1:6" ht="15" thickBot="1" x14ac:dyDescent="0.35">
      <c r="A38" s="174">
        <f>'ФЭО к смете 2026-2027'!A52</f>
        <v>28</v>
      </c>
      <c r="B38" s="177" t="str">
        <f>'ФЭО к смете 2026-2027'!B52</f>
        <v>Непредвиденные расходы</v>
      </c>
      <c r="C38" s="178">
        <f>'ФЭО к смете 2026-2027'!F52</f>
        <v>363244</v>
      </c>
      <c r="D38" s="176">
        <f>C38/'1'!D$2*'1'!B$2</f>
        <v>135782.81541983873</v>
      </c>
      <c r="E38" s="176">
        <f>C38/'1'!D$2*'1'!C$2</f>
        <v>227461.18458016124</v>
      </c>
    </row>
    <row r="39" spans="1:6" ht="15" thickBot="1" x14ac:dyDescent="0.35">
      <c r="A39" s="179"/>
      <c r="B39" s="180" t="s">
        <v>185</v>
      </c>
      <c r="C39" s="211">
        <f>SUM(C8:C38)</f>
        <v>8077314</v>
      </c>
      <c r="D39" s="181">
        <f>SUM(D8:D38)</f>
        <v>3699657.3137103282</v>
      </c>
      <c r="E39" s="181">
        <f>SUM(E8:E38)</f>
        <v>4377656.6862896718</v>
      </c>
    </row>
    <row r="40" spans="1:6" ht="29.4" thickBot="1" x14ac:dyDescent="0.35">
      <c r="A40" s="172"/>
      <c r="B40" s="299" t="s">
        <v>100</v>
      </c>
      <c r="C40" s="300"/>
      <c r="D40" s="173" t="s">
        <v>25</v>
      </c>
      <c r="E40" s="173" t="s">
        <v>26</v>
      </c>
    </row>
    <row r="41" spans="1:6" ht="15" thickBot="1" x14ac:dyDescent="0.35">
      <c r="A41" s="174">
        <f>'ФЭО к смете 2026-2027'!A57</f>
        <v>29</v>
      </c>
      <c r="B41" s="177" t="str">
        <f>'ФЭО к смете 2026-2027'!B57</f>
        <v>Объекты целевой инфраструктуры</v>
      </c>
      <c r="C41" s="178">
        <f>'ФЭО к смете 2026-2027'!F57</f>
        <v>280000</v>
      </c>
      <c r="D41" s="176">
        <f>C41/'[1]ФЭО к смете 2024-2025_v2'!O$2*'[1]ФЭО к смете 2024-2025_v2'!M$2</f>
        <v>106469.40250785442</v>
      </c>
      <c r="E41" s="176">
        <f>C41/'[1]ФЭО к смете 2024-2025_v2'!O$2*'[1]ФЭО к смете 2024-2025_v2'!N$2</f>
        <v>173530.59749214561</v>
      </c>
    </row>
    <row r="42" spans="1:6" ht="15" thickBot="1" x14ac:dyDescent="0.35">
      <c r="A42" s="174">
        <f t="shared" ref="A42:A45" si="0">A41+1</f>
        <v>30</v>
      </c>
      <c r="B42" s="177" t="str">
        <f>'ФЭО к смете 2026-2027'!B58</f>
        <v>Система автоматического открывания ворот</v>
      </c>
      <c r="C42" s="178">
        <f>'ФЭО к смете 2026-2027'!F58</f>
        <v>50000</v>
      </c>
      <c r="D42" s="176">
        <f>C42/'[1]ФЭО к смете 2024-2025_v2'!O$2*'[1]ФЭО к смете 2024-2025_v2'!M$2</f>
        <v>19012.393304974004</v>
      </c>
      <c r="E42" s="176">
        <f>C42/'[1]ФЭО к смете 2024-2025_v2'!O$2*'[1]ФЭО к смете 2024-2025_v2'!N$2</f>
        <v>30987.606695025999</v>
      </c>
    </row>
    <row r="43" spans="1:6" ht="15" thickBot="1" x14ac:dyDescent="0.35">
      <c r="A43" s="174">
        <f t="shared" si="0"/>
        <v>31</v>
      </c>
      <c r="B43" s="177" t="str">
        <f>'ФЭО к смете 2026-2027'!B59</f>
        <v>Освещение парковки/детской площадки</v>
      </c>
      <c r="C43" s="178">
        <f>'ФЭО к смете 2026-2027'!F59</f>
        <v>30000</v>
      </c>
      <c r="D43" s="176">
        <f>C43/'[1]ФЭО к смете 2024-2025_v2'!O$2*'[1]ФЭО к смете 2024-2025_v2'!M$2</f>
        <v>11407.435982984403</v>
      </c>
      <c r="E43" s="176">
        <f>C43/'[1]ФЭО к смете 2024-2025_v2'!O$2*'[1]ФЭО к смете 2024-2025_v2'!N$2</f>
        <v>18592.5640170156</v>
      </c>
    </row>
    <row r="44" spans="1:6" ht="15" thickBot="1" x14ac:dyDescent="0.35">
      <c r="A44" s="174">
        <f t="shared" si="0"/>
        <v>32</v>
      </c>
      <c r="B44" s="177" t="str">
        <f>'ФЭО к смете 2026-2027'!B60</f>
        <v>Демонтаж рыбацких домиков на озере</v>
      </c>
      <c r="C44" s="178">
        <f>'ФЭО к смете 2026-2027'!F60</f>
        <v>30000</v>
      </c>
      <c r="D44" s="176">
        <f>C44/'[1]ФЭО к смете 2024-2025_v2'!O$2*'[1]ФЭО к смете 2024-2025_v2'!M$2</f>
        <v>11407.435982984403</v>
      </c>
      <c r="E44" s="176">
        <f>C44/'[1]ФЭО к смете 2024-2025_v2'!O$2*'[1]ФЭО к смете 2024-2025_v2'!N$2</f>
        <v>18592.5640170156</v>
      </c>
    </row>
    <row r="45" spans="1:6" ht="15" thickBot="1" x14ac:dyDescent="0.35">
      <c r="A45" s="174">
        <f t="shared" si="0"/>
        <v>33</v>
      </c>
      <c r="B45" s="177" t="str">
        <f>'ФЭО к смете 2026-2027'!B61</f>
        <v>Ремонт и содержание объектов</v>
      </c>
      <c r="C45" s="178">
        <f>'ФЭО к смете 2026-2027'!F61</f>
        <v>400000</v>
      </c>
      <c r="D45" s="176">
        <f>C45/'[1]ФЭО к смете 2024-2025_v2'!O$2*'[1]ФЭО к смете 2024-2025_v2'!M$2</f>
        <v>152099.14643979204</v>
      </c>
      <c r="E45" s="176">
        <f>C45/'[1]ФЭО к смете 2024-2025_v2'!O$2*'[1]ФЭО к смете 2024-2025_v2'!N$2</f>
        <v>247900.85356020799</v>
      </c>
    </row>
    <row r="46" spans="1:6" ht="15" thickBot="1" x14ac:dyDescent="0.35">
      <c r="A46" s="182"/>
      <c r="B46" s="183" t="s">
        <v>184</v>
      </c>
      <c r="C46" s="184">
        <f>SUM(C41:C45)</f>
        <v>790000</v>
      </c>
      <c r="D46" s="184">
        <f>SUM(D41:D45)</f>
        <v>300395.81421858928</v>
      </c>
      <c r="E46" s="184">
        <f>SUM(E41:E45)</f>
        <v>489604.18578141078</v>
      </c>
    </row>
    <row r="47" spans="1:6" ht="15" thickBot="1" x14ac:dyDescent="0.35">
      <c r="A47" s="182"/>
      <c r="B47" s="183" t="s">
        <v>39</v>
      </c>
      <c r="C47" s="210">
        <f>C46+C39</f>
        <v>8867314</v>
      </c>
      <c r="D47" s="185"/>
      <c r="E47" s="185"/>
      <c r="F47" s="119"/>
    </row>
    <row r="48" spans="1:6" ht="15" thickBot="1" x14ac:dyDescent="0.35">
      <c r="A48" s="301" t="s">
        <v>101</v>
      </c>
      <c r="B48" s="301"/>
      <c r="C48" s="281"/>
      <c r="D48" s="281"/>
      <c r="E48" s="281"/>
      <c r="F48" s="119"/>
    </row>
    <row r="49" spans="1:6" x14ac:dyDescent="0.3">
      <c r="A49" s="282">
        <f>A25</f>
        <v>15</v>
      </c>
      <c r="B49" s="283" t="str">
        <f>B25</f>
        <v>Вывоз мусора*</v>
      </c>
      <c r="C49" s="293"/>
      <c r="D49" s="284" t="s">
        <v>102</v>
      </c>
      <c r="E49" s="285" t="s">
        <v>50</v>
      </c>
      <c r="F49" s="119"/>
    </row>
    <row r="50" spans="1:6" ht="89.4" customHeight="1" x14ac:dyDescent="0.3">
      <c r="A50" s="286"/>
      <c r="B50" s="304" t="s">
        <v>179</v>
      </c>
      <c r="C50" s="305"/>
      <c r="D50" s="287">
        <f>'ФЭО к смете 2026-2027'!I67</f>
        <v>58</v>
      </c>
      <c r="E50" s="288">
        <f>C25/D50/12</f>
        <v>404.28160919540232</v>
      </c>
      <c r="F50" s="119"/>
    </row>
    <row r="51" spans="1:6" ht="27.6" customHeight="1" x14ac:dyDescent="0.3">
      <c r="A51" s="289">
        <f>A33</f>
        <v>23</v>
      </c>
      <c r="B51" s="290" t="str">
        <f>B33</f>
        <v>Уборка снега 2-я очередь по улицам к уч.99, 111 (120), 144, 156)**</v>
      </c>
      <c r="C51" s="291"/>
      <c r="D51" s="310">
        <f>'ФЭО к смете 2026-2027'!I70</f>
        <v>8</v>
      </c>
      <c r="E51" s="312">
        <f>'ФЭО к смете 2026-2027'!J70</f>
        <v>416.66666666666669</v>
      </c>
      <c r="F51" s="119"/>
    </row>
    <row r="52" spans="1:6" ht="56.4" customHeight="1" thickBot="1" x14ac:dyDescent="0.35">
      <c r="A52" s="292"/>
      <c r="B52" s="314" t="s">
        <v>165</v>
      </c>
      <c r="C52" s="315"/>
      <c r="D52" s="311"/>
      <c r="E52" s="313"/>
      <c r="F52" s="119"/>
    </row>
    <row r="53" spans="1:6" ht="29.4" customHeight="1" thickBot="1" x14ac:dyDescent="0.35">
      <c r="A53" s="159" t="s">
        <v>89</v>
      </c>
      <c r="B53" s="160" t="s">
        <v>90</v>
      </c>
      <c r="C53" s="160" t="s">
        <v>91</v>
      </c>
      <c r="D53" s="318" t="s">
        <v>92</v>
      </c>
      <c r="E53" s="319"/>
    </row>
    <row r="54" spans="1:6" ht="29.4" thickBot="1" x14ac:dyDescent="0.35">
      <c r="A54" s="320" t="s">
        <v>93</v>
      </c>
      <c r="B54" s="321"/>
      <c r="C54" s="322"/>
      <c r="D54" s="161" t="s">
        <v>25</v>
      </c>
      <c r="E54" s="162" t="s">
        <v>26</v>
      </c>
    </row>
    <row r="55" spans="1:6" x14ac:dyDescent="0.3">
      <c r="A55" s="323">
        <v>1</v>
      </c>
      <c r="B55" s="163" t="s">
        <v>94</v>
      </c>
      <c r="C55" s="325">
        <f>SUM(D55:E56)</f>
        <v>8867314</v>
      </c>
      <c r="D55" s="164">
        <f>D39</f>
        <v>3699657.3137103282</v>
      </c>
      <c r="E55" s="165">
        <f>E39</f>
        <v>4377656.6862896718</v>
      </c>
    </row>
    <row r="56" spans="1:6" x14ac:dyDescent="0.3">
      <c r="A56" s="324"/>
      <c r="B56" s="166" t="s">
        <v>95</v>
      </c>
      <c r="C56" s="326"/>
      <c r="D56" s="167">
        <f>D46</f>
        <v>300395.81421858928</v>
      </c>
      <c r="E56" s="168">
        <f>E46</f>
        <v>489604.18578141078</v>
      </c>
    </row>
    <row r="57" spans="1:6" ht="43.8" thickBot="1" x14ac:dyDescent="0.35">
      <c r="A57" s="169">
        <v>2</v>
      </c>
      <c r="B57" s="170" t="s">
        <v>172</v>
      </c>
      <c r="C57" s="267" t="s">
        <v>96</v>
      </c>
      <c r="D57" s="268" t="s">
        <v>96</v>
      </c>
      <c r="E57" s="269" t="s">
        <v>96</v>
      </c>
    </row>
    <row r="58" spans="1:6" ht="15" thickBot="1" x14ac:dyDescent="0.35">
      <c r="A58" s="302" t="s">
        <v>97</v>
      </c>
      <c r="B58" s="303"/>
      <c r="C58" s="171">
        <f>SUM(C55:C57)</f>
        <v>8867314</v>
      </c>
      <c r="D58" s="270">
        <f>SUM(D55:D57)</f>
        <v>4000053.1279289173</v>
      </c>
      <c r="E58" s="271">
        <f>SUM(E55:E57)</f>
        <v>4867260.8720710827</v>
      </c>
    </row>
    <row r="59" spans="1:6" x14ac:dyDescent="0.3">
      <c r="A59" s="278"/>
      <c r="B59" s="278"/>
      <c r="C59" s="279"/>
      <c r="D59" s="280"/>
      <c r="E59" s="280"/>
    </row>
    <row r="60" spans="1:6" x14ac:dyDescent="0.3">
      <c r="A60" s="278"/>
      <c r="B60" s="278"/>
      <c r="C60" s="279"/>
      <c r="D60" s="280"/>
      <c r="E60" s="280"/>
    </row>
    <row r="61" spans="1:6" x14ac:dyDescent="0.3">
      <c r="A61" s="278"/>
      <c r="B61" s="278"/>
      <c r="C61" s="279"/>
      <c r="D61" s="280"/>
      <c r="E61" s="280"/>
    </row>
    <row r="62" spans="1:6" x14ac:dyDescent="0.3">
      <c r="A62" s="158"/>
    </row>
    <row r="63" spans="1:6" ht="18" x14ac:dyDescent="0.35">
      <c r="A63" s="186" t="s">
        <v>173</v>
      </c>
      <c r="B63" s="186"/>
      <c r="C63" s="186"/>
      <c r="D63" s="82"/>
      <c r="E63" s="82"/>
    </row>
    <row r="64" spans="1:6" ht="15" thickBot="1" x14ac:dyDescent="0.35"/>
    <row r="65" spans="1:7" x14ac:dyDescent="0.3">
      <c r="A65" s="202"/>
      <c r="B65" s="316" t="s">
        <v>28</v>
      </c>
      <c r="C65" s="307" t="s">
        <v>128</v>
      </c>
      <c r="D65" s="308"/>
      <c r="E65" s="309"/>
    </row>
    <row r="66" spans="1:7" x14ac:dyDescent="0.3">
      <c r="A66" s="202"/>
      <c r="B66" s="317"/>
      <c r="C66" s="194" t="s">
        <v>29</v>
      </c>
      <c r="D66" s="194" t="s">
        <v>30</v>
      </c>
      <c r="E66" s="195" t="s">
        <v>17</v>
      </c>
    </row>
    <row r="67" spans="1:7" x14ac:dyDescent="0.3">
      <c r="A67" s="202"/>
      <c r="B67" s="196" t="s">
        <v>103</v>
      </c>
      <c r="C67" s="197">
        <f>'ФЭО к смете 2026-2027'!M6</f>
        <v>3256.7013055901552</v>
      </c>
      <c r="D67" s="197">
        <f>'ФЭО к смете 2026-2027'!N6</f>
        <v>277.41101778239738</v>
      </c>
      <c r="E67" s="198">
        <f>SUM(C67:D67)</f>
        <v>3534.1123233725525</v>
      </c>
      <c r="G67" s="119"/>
    </row>
    <row r="68" spans="1:7" ht="15" thickBot="1" x14ac:dyDescent="0.35">
      <c r="A68" s="202"/>
      <c r="B68" s="199" t="s">
        <v>104</v>
      </c>
      <c r="C68" s="200">
        <f>'ФЭО к смете 2026-2027'!M7</f>
        <v>2405.2392503497676</v>
      </c>
      <c r="D68" s="200">
        <f>'ФЭО к смете 2026-2027'!N7</f>
        <v>277.41101778239738</v>
      </c>
      <c r="E68" s="201">
        <f>SUM(C68:D68)</f>
        <v>2682.6502681321649</v>
      </c>
      <c r="G68" s="119"/>
    </row>
    <row r="69" spans="1:7" ht="15" thickBot="1" x14ac:dyDescent="0.35">
      <c r="A69" s="202"/>
      <c r="B69" s="327" t="s">
        <v>105</v>
      </c>
      <c r="C69" s="327"/>
      <c r="D69" s="327"/>
      <c r="E69" s="328"/>
    </row>
    <row r="70" spans="1:7" s="188" customFormat="1" ht="28.8" x14ac:dyDescent="0.3">
      <c r="A70" s="230" t="s">
        <v>106</v>
      </c>
      <c r="B70" s="203" t="s">
        <v>111</v>
      </c>
      <c r="C70" s="204">
        <f>'ФЭО к смете 2026-2027'!J67</f>
        <v>404.28160919540232</v>
      </c>
      <c r="D70" s="204"/>
      <c r="E70" s="205"/>
      <c r="F70" s="187"/>
    </row>
    <row r="71" spans="1:7" s="84" customFormat="1" ht="29.4" thickBot="1" x14ac:dyDescent="0.35">
      <c r="A71" s="231" t="s">
        <v>107</v>
      </c>
      <c r="B71" s="206" t="s">
        <v>171</v>
      </c>
      <c r="C71" s="207"/>
      <c r="D71" s="208">
        <f>'ФЭО к смете 2026-2027'!J70</f>
        <v>416.66666666666669</v>
      </c>
      <c r="E71" s="209"/>
      <c r="F71" s="189"/>
    </row>
    <row r="72" spans="1:7" x14ac:dyDescent="0.3">
      <c r="A72" s="75"/>
      <c r="B72" s="75"/>
      <c r="C72" s="75"/>
      <c r="D72" s="190"/>
      <c r="E72" s="75"/>
      <c r="F72" s="75"/>
    </row>
    <row r="73" spans="1:7" ht="29.4" customHeight="1" x14ac:dyDescent="0.3">
      <c r="A73" s="329" t="s">
        <v>108</v>
      </c>
      <c r="B73" s="329"/>
      <c r="C73" s="329"/>
      <c r="D73" s="329"/>
      <c r="E73" s="329"/>
    </row>
    <row r="74" spans="1:7" x14ac:dyDescent="0.3">
      <c r="A74" s="191"/>
      <c r="B74" s="191"/>
      <c r="C74" s="191"/>
      <c r="D74" s="191"/>
      <c r="E74" s="191"/>
    </row>
    <row r="75" spans="1:7" x14ac:dyDescent="0.3">
      <c r="E75" s="192" t="s">
        <v>166</v>
      </c>
    </row>
    <row r="76" spans="1:7" x14ac:dyDescent="0.3">
      <c r="B76" s="193"/>
      <c r="E76" s="192"/>
    </row>
    <row r="77" spans="1:7" x14ac:dyDescent="0.3">
      <c r="E77" s="192"/>
    </row>
    <row r="78" spans="1:7" x14ac:dyDescent="0.3">
      <c r="E78" s="192" t="s">
        <v>109</v>
      </c>
    </row>
    <row r="86" spans="1:6" x14ac:dyDescent="0.3">
      <c r="A86" s="306"/>
      <c r="B86" s="306"/>
      <c r="C86" s="1"/>
      <c r="D86" s="2"/>
      <c r="E86" s="2"/>
      <c r="F86" s="1"/>
    </row>
    <row r="87" spans="1:6" x14ac:dyDescent="0.3">
      <c r="A87" s="306"/>
      <c r="B87" s="306"/>
      <c r="C87" s="1"/>
      <c r="D87" s="2"/>
      <c r="E87" s="2"/>
      <c r="F87" s="1"/>
    </row>
    <row r="88" spans="1:6" x14ac:dyDescent="0.3">
      <c r="A88" s="306"/>
      <c r="B88" s="306"/>
      <c r="C88" s="1"/>
      <c r="D88" s="2"/>
      <c r="E88" s="2"/>
      <c r="F88" s="1"/>
    </row>
    <row r="89" spans="1:6" x14ac:dyDescent="0.3">
      <c r="A89" s="306"/>
      <c r="B89" s="306"/>
      <c r="C89" s="1"/>
      <c r="D89" s="2"/>
      <c r="E89" s="2"/>
      <c r="F89" s="1"/>
    </row>
    <row r="90" spans="1:6" x14ac:dyDescent="0.3">
      <c r="A90" s="306"/>
      <c r="B90" s="306"/>
      <c r="C90" s="1"/>
      <c r="D90" s="2"/>
      <c r="E90" s="2"/>
      <c r="F90" s="1"/>
    </row>
    <row r="91" spans="1:6" x14ac:dyDescent="0.3">
      <c r="A91" s="306"/>
      <c r="B91" s="306"/>
      <c r="C91" s="1"/>
      <c r="D91" s="2"/>
      <c r="E91" s="2"/>
      <c r="F91" s="1"/>
    </row>
    <row r="92" spans="1:6" x14ac:dyDescent="0.3">
      <c r="A92" s="306"/>
      <c r="B92" s="306"/>
      <c r="C92" s="1"/>
      <c r="D92" s="2"/>
      <c r="E92" s="2"/>
      <c r="F92" s="1"/>
    </row>
    <row r="93" spans="1:6" x14ac:dyDescent="0.3">
      <c r="A93" s="306"/>
      <c r="B93" s="306"/>
      <c r="C93" s="1"/>
      <c r="D93" s="2"/>
      <c r="E93" s="2"/>
      <c r="F93" s="1"/>
    </row>
    <row r="94" spans="1:6" x14ac:dyDescent="0.3">
      <c r="A94" s="306"/>
      <c r="B94" s="306"/>
      <c r="C94" s="1"/>
      <c r="D94" s="2"/>
      <c r="E94" s="2"/>
      <c r="F94" s="1"/>
    </row>
    <row r="95" spans="1:6" x14ac:dyDescent="0.3">
      <c r="A95" s="306"/>
      <c r="B95" s="306"/>
      <c r="C95" s="1"/>
      <c r="D95" s="2"/>
      <c r="E95" s="2"/>
      <c r="F95" s="1"/>
    </row>
  </sheetData>
  <mergeCells count="27">
    <mergeCell ref="A95:B95"/>
    <mergeCell ref="C65:E65"/>
    <mergeCell ref="D51:D52"/>
    <mergeCell ref="E51:E52"/>
    <mergeCell ref="B52:C52"/>
    <mergeCell ref="B65:B66"/>
    <mergeCell ref="D53:E53"/>
    <mergeCell ref="A54:C54"/>
    <mergeCell ref="A55:A56"/>
    <mergeCell ref="C55:C56"/>
    <mergeCell ref="B69:E69"/>
    <mergeCell ref="A73:E73"/>
    <mergeCell ref="A86:B86"/>
    <mergeCell ref="A87:B87"/>
    <mergeCell ref="A88:B88"/>
    <mergeCell ref="A91:B91"/>
    <mergeCell ref="A92:B92"/>
    <mergeCell ref="A93:B93"/>
    <mergeCell ref="A94:B94"/>
    <mergeCell ref="A89:B89"/>
    <mergeCell ref="A90:B90"/>
    <mergeCell ref="A6:C6"/>
    <mergeCell ref="B7:C7"/>
    <mergeCell ref="B40:C40"/>
    <mergeCell ref="A48:B48"/>
    <mergeCell ref="A58:B58"/>
    <mergeCell ref="B50:C5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3CB55-E7E0-4EC0-A0AD-88F078F400A3}">
  <dimension ref="A1:AA72"/>
  <sheetViews>
    <sheetView zoomScale="70" zoomScaleNormal="70" workbookViewId="0">
      <selection activeCell="B67" sqref="B67"/>
    </sheetView>
  </sheetViews>
  <sheetFormatPr defaultRowHeight="14.4" x14ac:dyDescent="0.3"/>
  <cols>
    <col min="1" max="1" width="9.44140625" customWidth="1"/>
    <col min="2" max="2" width="34.44140625" customWidth="1"/>
    <col min="5" max="5" width="15" customWidth="1"/>
    <col min="6" max="6" width="15.33203125" bestFit="1" customWidth="1"/>
    <col min="7" max="7" width="86.109375" customWidth="1" collapsed="1"/>
    <col min="8" max="8" width="1.88671875" customWidth="1"/>
    <col min="9" max="9" width="14.77734375" customWidth="1"/>
    <col min="10" max="10" width="14.109375" customWidth="1"/>
    <col min="11" max="11" width="4" customWidth="1"/>
    <col min="12" max="12" width="15.77734375" customWidth="1"/>
    <col min="13" max="13" width="13.6640625" customWidth="1"/>
    <col min="14" max="14" width="12.44140625" customWidth="1"/>
    <col min="15" max="15" width="10.88671875" bestFit="1" customWidth="1"/>
    <col min="16" max="18" width="11.88671875" customWidth="1"/>
    <col min="19" max="21" width="12.21875" customWidth="1"/>
    <col min="22" max="24" width="12.88671875" customWidth="1"/>
    <col min="25" max="27" width="11.33203125" customWidth="1"/>
  </cols>
  <sheetData>
    <row r="1" spans="1:27" x14ac:dyDescent="0.3">
      <c r="A1" s="342" t="s">
        <v>112</v>
      </c>
      <c r="B1" s="342"/>
      <c r="C1" s="342"/>
      <c r="D1" s="342"/>
      <c r="E1" s="342"/>
      <c r="F1" s="342"/>
      <c r="G1" s="342"/>
      <c r="H1" s="67"/>
      <c r="I1" s="108"/>
      <c r="J1" s="109"/>
      <c r="K1" s="109"/>
      <c r="L1" s="112"/>
      <c r="M1" s="113" t="s">
        <v>15</v>
      </c>
      <c r="N1" s="113" t="s">
        <v>16</v>
      </c>
      <c r="O1" s="114" t="s">
        <v>17</v>
      </c>
    </row>
    <row r="2" spans="1:27" x14ac:dyDescent="0.3">
      <c r="A2" s="342" t="s">
        <v>27</v>
      </c>
      <c r="B2" s="342"/>
      <c r="C2" s="342"/>
      <c r="D2" s="342"/>
      <c r="E2" s="342"/>
      <c r="F2" s="342"/>
      <c r="G2" s="342"/>
      <c r="H2" s="68"/>
      <c r="I2" s="110"/>
      <c r="J2" s="111"/>
      <c r="K2" s="111"/>
      <c r="L2" s="115" t="s">
        <v>41</v>
      </c>
      <c r="M2" s="116">
        <v>1064.51</v>
      </c>
      <c r="N2" s="117">
        <v>1783.25</v>
      </c>
      <c r="O2" s="116">
        <f>SUM(M2:N2)</f>
        <v>2847.76</v>
      </c>
    </row>
    <row r="3" spans="1:27" x14ac:dyDescent="0.3">
      <c r="A3" s="88" t="s">
        <v>115</v>
      </c>
      <c r="C3" s="2"/>
      <c r="D3" s="2"/>
      <c r="E3" s="1"/>
      <c r="F3" s="3"/>
      <c r="G3" s="16"/>
      <c r="I3" s="110"/>
      <c r="J3" s="111"/>
      <c r="K3" s="111"/>
      <c r="L3" s="115" t="s">
        <v>40</v>
      </c>
      <c r="M3" s="118">
        <v>83</v>
      </c>
      <c r="N3" s="118">
        <v>158</v>
      </c>
      <c r="O3" s="118">
        <f>M3+N3</f>
        <v>241</v>
      </c>
    </row>
    <row r="4" spans="1:27" ht="14.4" customHeight="1" x14ac:dyDescent="0.3">
      <c r="A4" s="88" t="s">
        <v>114</v>
      </c>
      <c r="C4" s="2"/>
      <c r="D4" s="2"/>
      <c r="E4" s="1"/>
      <c r="F4" s="3"/>
      <c r="G4" s="16"/>
      <c r="L4" s="121" t="s">
        <v>28</v>
      </c>
      <c r="M4" s="125" t="s">
        <v>128</v>
      </c>
      <c r="N4" s="126"/>
      <c r="O4" s="127"/>
      <c r="S4" s="261"/>
      <c r="T4" s="261"/>
      <c r="U4" s="262" t="s">
        <v>158</v>
      </c>
      <c r="V4" s="261"/>
      <c r="W4" s="261"/>
      <c r="X4" s="261"/>
      <c r="Y4" s="261"/>
    </row>
    <row r="5" spans="1:27" ht="14.4" customHeight="1" x14ac:dyDescent="0.3">
      <c r="A5" s="342" t="s">
        <v>51</v>
      </c>
      <c r="B5" s="342"/>
      <c r="C5" s="342"/>
      <c r="D5" s="342"/>
      <c r="E5" s="342"/>
      <c r="F5" s="342"/>
      <c r="G5" s="16"/>
      <c r="L5" s="122"/>
      <c r="M5" s="128" t="s">
        <v>29</v>
      </c>
      <c r="N5" s="128" t="s">
        <v>30</v>
      </c>
      <c r="O5" s="128" t="s">
        <v>36</v>
      </c>
      <c r="S5" s="263" t="s">
        <v>157</v>
      </c>
      <c r="T5" s="264"/>
      <c r="U5" s="212"/>
      <c r="V5" s="264" t="s">
        <v>159</v>
      </c>
      <c r="W5" s="264"/>
      <c r="X5" s="264"/>
      <c r="Y5" s="264"/>
      <c r="AA5" s="220"/>
    </row>
    <row r="6" spans="1:27" ht="14.4" customHeight="1" x14ac:dyDescent="0.3">
      <c r="A6" s="88" t="s">
        <v>116</v>
      </c>
      <c r="C6" s="2"/>
      <c r="D6" s="2"/>
      <c r="E6" s="89"/>
      <c r="F6" s="3"/>
      <c r="G6" s="16"/>
      <c r="L6" s="123" t="s">
        <v>25</v>
      </c>
      <c r="M6" s="129">
        <f>I53</f>
        <v>3256.7013055901552</v>
      </c>
      <c r="N6" s="129">
        <f>I62</f>
        <v>277.41101778239738</v>
      </c>
      <c r="O6" s="129">
        <f>SUM(M6:N6)</f>
        <v>3534.1123233725525</v>
      </c>
      <c r="S6" s="265">
        <f>(O6+O8)*100/(AA13+AA15)-100</f>
        <v>49.462396493713754</v>
      </c>
      <c r="T6" s="264"/>
      <c r="U6" s="212"/>
      <c r="V6" s="265">
        <f>((O13*1.1)+((O13*1.1)*1.1)+(((O13*1.1)*1.1)*1.1)+((((O13*1.1)*1.1)*1.1)*1.1)+(((((O13*1.1)*1.1)*1.1)*1.1)*1.1)+((((((O13*1.1)*1.1)*1.1)*1.1)*1.1)*1.1))/6</f>
        <v>3558.5576380200014</v>
      </c>
      <c r="W6" s="264"/>
      <c r="X6" s="264"/>
      <c r="Y6" s="264"/>
      <c r="AA6" s="221"/>
    </row>
    <row r="7" spans="1:27" ht="14.4" customHeight="1" x14ac:dyDescent="0.3">
      <c r="A7" s="212" t="s">
        <v>117</v>
      </c>
      <c r="C7" s="2"/>
      <c r="D7" s="2"/>
      <c r="E7" s="1"/>
      <c r="F7" s="3"/>
      <c r="G7" s="16"/>
      <c r="L7" s="124" t="s">
        <v>26</v>
      </c>
      <c r="M7" s="130">
        <f>J53</f>
        <v>2405.2392503497676</v>
      </c>
      <c r="N7" s="130">
        <f>J62</f>
        <v>277.41101778239738</v>
      </c>
      <c r="O7" s="130">
        <f>SUM(M7:N7)</f>
        <v>2682.6502681321649</v>
      </c>
      <c r="S7" s="265">
        <f>(O7+O9+O8)*100/(AA14+AA16+AA15)-100</f>
        <v>55.584108707945887</v>
      </c>
      <c r="T7" s="264"/>
      <c r="U7" s="212"/>
      <c r="V7" s="265">
        <f>((O14*1.1)+((O14*1.1)*1.1)+(((O14*1.1)*1.1)*1.1)+((((O14*1.1)*1.1)*1.1)*1.1)+(((((O14*1.1)*1.1)*1.1)*1.1)*1.1)+((((((O14*1.1)*1.1)*1.1)*1.1)*1.1)*1.1))/6</f>
        <v>2360.7773400750011</v>
      </c>
      <c r="W7" s="264"/>
      <c r="X7" s="264"/>
      <c r="Y7" s="264"/>
      <c r="AA7" s="221"/>
    </row>
    <row r="8" spans="1:27" ht="14.4" customHeight="1" x14ac:dyDescent="0.3">
      <c r="A8" s="222" t="s">
        <v>160</v>
      </c>
      <c r="B8" s="62"/>
      <c r="C8" s="223"/>
      <c r="D8" s="223"/>
      <c r="E8" s="224"/>
      <c r="F8" s="3"/>
      <c r="G8" s="17"/>
      <c r="L8" s="340" t="s">
        <v>55</v>
      </c>
      <c r="M8" s="131" t="s">
        <v>73</v>
      </c>
      <c r="N8" s="134"/>
      <c r="O8" s="134">
        <f>J67</f>
        <v>404.28160919540232</v>
      </c>
      <c r="P8" s="330" t="s">
        <v>52</v>
      </c>
      <c r="Q8" s="330"/>
      <c r="R8" s="330"/>
    </row>
    <row r="9" spans="1:27" ht="14.4" customHeight="1" x14ac:dyDescent="0.3">
      <c r="C9" s="2"/>
      <c r="D9" s="2"/>
      <c r="E9" s="1"/>
      <c r="F9" s="3"/>
      <c r="G9" s="16"/>
      <c r="L9" s="341"/>
      <c r="M9" s="133" t="s">
        <v>72</v>
      </c>
      <c r="N9" s="132"/>
      <c r="O9" s="135">
        <f>J70</f>
        <v>416.66666666666669</v>
      </c>
      <c r="P9" s="330"/>
      <c r="Q9" s="330"/>
      <c r="R9" s="330"/>
    </row>
    <row r="10" spans="1:27" ht="14.4" customHeight="1" x14ac:dyDescent="0.3">
      <c r="C10" s="2"/>
      <c r="D10" s="2"/>
      <c r="E10" s="1"/>
      <c r="F10" s="3"/>
      <c r="G10" s="16"/>
      <c r="L10" s="233" t="s">
        <v>170</v>
      </c>
      <c r="M10" s="233"/>
      <c r="N10" s="234"/>
      <c r="O10" s="235"/>
      <c r="P10" s="236"/>
      <c r="Q10" s="236"/>
      <c r="R10" s="236"/>
      <c r="S10" s="233"/>
      <c r="T10" s="233"/>
      <c r="U10" s="233"/>
      <c r="V10" s="233"/>
      <c r="W10" s="233"/>
      <c r="X10" s="233"/>
      <c r="Y10" s="233"/>
      <c r="Z10" s="233"/>
      <c r="AA10" s="233"/>
    </row>
    <row r="11" spans="1:27" ht="14.4" customHeight="1" x14ac:dyDescent="0.3">
      <c r="C11" s="2"/>
      <c r="D11" s="2"/>
      <c r="E11" s="1"/>
      <c r="F11" s="3"/>
      <c r="G11" s="16"/>
      <c r="L11" s="237" t="s">
        <v>28</v>
      </c>
      <c r="M11" s="238" t="s">
        <v>147</v>
      </c>
      <c r="N11" s="239"/>
      <c r="O11" s="240"/>
      <c r="P11" s="238" t="s">
        <v>146</v>
      </c>
      <c r="Q11" s="239"/>
      <c r="R11" s="240"/>
      <c r="S11" s="238" t="s">
        <v>145</v>
      </c>
      <c r="T11" s="239"/>
      <c r="U11" s="240"/>
      <c r="V11" s="238" t="s">
        <v>31</v>
      </c>
      <c r="W11" s="239"/>
      <c r="X11" s="240"/>
      <c r="Y11" s="238" t="s">
        <v>69</v>
      </c>
      <c r="Z11" s="239"/>
      <c r="AA11" s="240"/>
    </row>
    <row r="12" spans="1:27" x14ac:dyDescent="0.3">
      <c r="A12" s="343"/>
      <c r="B12" s="343"/>
      <c r="C12" s="343"/>
      <c r="D12" s="343"/>
      <c r="E12" s="343"/>
      <c r="F12" s="343"/>
      <c r="G12" s="343"/>
      <c r="L12" s="241"/>
      <c r="M12" s="242" t="s">
        <v>29</v>
      </c>
      <c r="N12" s="242" t="s">
        <v>30</v>
      </c>
      <c r="O12" s="243" t="s">
        <v>17</v>
      </c>
      <c r="P12" s="242" t="s">
        <v>29</v>
      </c>
      <c r="Q12" s="242" t="s">
        <v>30</v>
      </c>
      <c r="R12" s="243" t="s">
        <v>17</v>
      </c>
      <c r="S12" s="242" t="s">
        <v>29</v>
      </c>
      <c r="T12" s="242" t="s">
        <v>30</v>
      </c>
      <c r="U12" s="243" t="s">
        <v>17</v>
      </c>
      <c r="V12" s="242" t="s">
        <v>29</v>
      </c>
      <c r="W12" s="242" t="s">
        <v>30</v>
      </c>
      <c r="X12" s="243" t="s">
        <v>17</v>
      </c>
      <c r="Y12" s="242" t="s">
        <v>29</v>
      </c>
      <c r="Z12" s="242" t="s">
        <v>30</v>
      </c>
      <c r="AA12" s="243" t="s">
        <v>17</v>
      </c>
    </row>
    <row r="13" spans="1:27" ht="14.4" customHeight="1" x14ac:dyDescent="0.3">
      <c r="A13" s="90"/>
      <c r="C13" s="2"/>
      <c r="D13" s="2"/>
      <c r="E13" s="1"/>
      <c r="F13" s="3"/>
      <c r="G13" s="16"/>
      <c r="L13" s="244" t="s">
        <v>25</v>
      </c>
      <c r="M13" s="242">
        <v>2146.98</v>
      </c>
      <c r="N13" s="242">
        <v>368.74</v>
      </c>
      <c r="O13" s="245">
        <f>M13+N13</f>
        <v>2515.7200000000003</v>
      </c>
      <c r="P13" s="242">
        <v>1831.52</v>
      </c>
      <c r="Q13" s="242">
        <v>499.17</v>
      </c>
      <c r="R13" s="245">
        <f>P13+Q13</f>
        <v>2330.69</v>
      </c>
      <c r="S13" s="242">
        <v>1868.13</v>
      </c>
      <c r="T13" s="242">
        <v>544.91</v>
      </c>
      <c r="U13" s="245">
        <f>S13+T13</f>
        <v>2413.04</v>
      </c>
      <c r="V13" s="242">
        <f>'[2]Смета 2024-2025'!C64</f>
        <v>1640.9268269604802</v>
      </c>
      <c r="W13" s="242">
        <f>'[2]Смета 2024-2025'!D64</f>
        <v>551.91674185899365</v>
      </c>
      <c r="X13" s="242">
        <f>'[2]Смета 2024-2025'!E64</f>
        <v>2192.8435688194741</v>
      </c>
      <c r="Y13" s="242">
        <v>2098.98</v>
      </c>
      <c r="Z13" s="242">
        <v>189.62</v>
      </c>
      <c r="AA13" s="242">
        <f>Y13+Z13</f>
        <v>2288.6</v>
      </c>
    </row>
    <row r="14" spans="1:27" ht="15" customHeight="1" x14ac:dyDescent="0.35">
      <c r="B14" s="1"/>
      <c r="C14" s="2"/>
      <c r="D14" s="2"/>
      <c r="E14" s="1"/>
      <c r="F14" s="3"/>
      <c r="G14" s="266" t="s">
        <v>169</v>
      </c>
      <c r="L14" s="244" t="s">
        <v>26</v>
      </c>
      <c r="M14" s="242">
        <v>1300.21</v>
      </c>
      <c r="N14" s="242">
        <v>368.74</v>
      </c>
      <c r="O14" s="245">
        <f>M14+N14</f>
        <v>1668.95</v>
      </c>
      <c r="P14" s="242">
        <v>1709.17</v>
      </c>
      <c r="Q14" s="242">
        <v>808.43</v>
      </c>
      <c r="R14" s="245">
        <f>P14+Q14</f>
        <v>2517.6</v>
      </c>
      <c r="S14" s="242">
        <v>1606.27</v>
      </c>
      <c r="T14" s="242">
        <v>893.25</v>
      </c>
      <c r="U14" s="245">
        <f>S14+T14</f>
        <v>2499.52</v>
      </c>
      <c r="V14" s="246">
        <f>'[2]Смета 2024-2025'!C65</f>
        <v>1079.7401089887953</v>
      </c>
      <c r="W14" s="246">
        <f>'[2]Смета 2024-2025'!D65</f>
        <v>406.0801197614785</v>
      </c>
      <c r="X14" s="246">
        <f>'[2]Смета 2024-2025'!E65</f>
        <v>1485.8202287502738</v>
      </c>
      <c r="Y14" s="246">
        <v>1299.17</v>
      </c>
      <c r="Z14" s="246">
        <v>189.62</v>
      </c>
      <c r="AA14" s="242">
        <f>Y14+Z14</f>
        <v>1488.79</v>
      </c>
    </row>
    <row r="15" spans="1:27" x14ac:dyDescent="0.3">
      <c r="A15" s="5"/>
      <c r="C15" s="6"/>
      <c r="D15" s="6"/>
      <c r="E15" s="5"/>
      <c r="F15" s="4"/>
      <c r="G15" s="91"/>
      <c r="L15" s="344" t="s">
        <v>55</v>
      </c>
      <c r="M15" s="233"/>
      <c r="N15" s="233"/>
      <c r="O15" s="233"/>
      <c r="P15" s="233"/>
      <c r="Q15" s="233"/>
      <c r="R15" s="233"/>
      <c r="S15" s="247"/>
      <c r="T15" s="247"/>
      <c r="U15" s="247"/>
      <c r="V15" s="248" t="s">
        <v>73</v>
      </c>
      <c r="W15" s="248"/>
      <c r="X15" s="249">
        <v>314.47000000000003</v>
      </c>
      <c r="Y15" s="250" t="s">
        <v>73</v>
      </c>
      <c r="Z15" s="248"/>
      <c r="AA15" s="249">
        <v>346.44</v>
      </c>
    </row>
    <row r="16" spans="1:27" ht="18" x14ac:dyDescent="0.3">
      <c r="A16" s="92" t="s">
        <v>113</v>
      </c>
      <c r="B16" s="92"/>
      <c r="C16" s="93"/>
      <c r="D16" s="93"/>
      <c r="E16" s="92"/>
      <c r="F16" s="92"/>
      <c r="G16" s="92"/>
      <c r="L16" s="345"/>
      <c r="M16" s="233"/>
      <c r="N16" s="233"/>
      <c r="O16" s="233"/>
      <c r="P16" s="233"/>
      <c r="Q16" s="233"/>
      <c r="R16" s="233"/>
      <c r="S16" s="247"/>
      <c r="T16" s="251"/>
      <c r="U16" s="252"/>
      <c r="V16" s="249" t="s">
        <v>72</v>
      </c>
      <c r="W16" s="253"/>
      <c r="X16" s="254">
        <v>625</v>
      </c>
      <c r="Y16" s="243" t="s">
        <v>72</v>
      </c>
      <c r="Z16" s="253"/>
      <c r="AA16" s="254">
        <v>416.67</v>
      </c>
    </row>
    <row r="17" spans="1:27" ht="18.600000000000001" thickBot="1" x14ac:dyDescent="0.35">
      <c r="A17" s="331" t="s">
        <v>0</v>
      </c>
      <c r="B17" s="331"/>
      <c r="C17" s="8"/>
      <c r="D17" s="8"/>
      <c r="E17" s="7"/>
      <c r="F17" s="4"/>
      <c r="G17" s="17"/>
      <c r="I17" s="22" t="s">
        <v>25</v>
      </c>
      <c r="J17" s="22" t="s">
        <v>26</v>
      </c>
      <c r="L17" s="255"/>
      <c r="M17" s="233"/>
      <c r="N17" s="233"/>
      <c r="O17" s="233"/>
      <c r="P17" s="233"/>
      <c r="Q17" s="233"/>
      <c r="R17" s="233"/>
      <c r="S17" s="256"/>
      <c r="T17" s="257"/>
      <c r="U17" s="233"/>
      <c r="V17" s="233"/>
      <c r="W17" s="233"/>
      <c r="X17" s="258">
        <f>X13+X15</f>
        <v>2507.3135688194743</v>
      </c>
      <c r="Y17" s="259"/>
      <c r="Z17" s="259"/>
      <c r="AA17" s="258">
        <f>AA13+AA15</f>
        <v>2635.04</v>
      </c>
    </row>
    <row r="18" spans="1:27" s="22" customFormat="1" ht="18.600000000000001" customHeight="1" x14ac:dyDescent="0.3">
      <c r="A18" s="338" t="s">
        <v>1</v>
      </c>
      <c r="B18" s="353" t="s">
        <v>3</v>
      </c>
      <c r="C18" s="353" t="s">
        <v>21</v>
      </c>
      <c r="D18" s="351" t="s">
        <v>22</v>
      </c>
      <c r="E18" s="351" t="s">
        <v>56</v>
      </c>
      <c r="F18" s="349" t="s">
        <v>161</v>
      </c>
      <c r="G18" s="347" t="s">
        <v>13</v>
      </c>
      <c r="I18" s="335" t="s">
        <v>14</v>
      </c>
      <c r="J18" s="335" t="s">
        <v>14</v>
      </c>
      <c r="L18" s="256"/>
      <c r="M18" s="260"/>
      <c r="N18" s="260"/>
      <c r="O18" s="260"/>
      <c r="P18" s="260"/>
      <c r="Q18" s="260"/>
      <c r="R18" s="260"/>
      <c r="S18" s="256"/>
      <c r="T18" s="257"/>
      <c r="U18" s="260"/>
      <c r="V18" s="260"/>
      <c r="W18" s="260"/>
      <c r="X18" s="258">
        <f>X14+X15+X16</f>
        <v>2425.2902287502739</v>
      </c>
      <c r="Y18" s="259"/>
      <c r="Z18" s="259"/>
      <c r="AA18" s="258">
        <f>AA14+AA15+AA16</f>
        <v>2251.9</v>
      </c>
    </row>
    <row r="19" spans="1:27" s="22" customFormat="1" ht="19.2" customHeight="1" x14ac:dyDescent="0.3">
      <c r="A19" s="339"/>
      <c r="B19" s="354"/>
      <c r="C19" s="354"/>
      <c r="D19" s="352"/>
      <c r="E19" s="352"/>
      <c r="F19" s="350"/>
      <c r="G19" s="348"/>
      <c r="I19" s="336"/>
      <c r="J19" s="336"/>
      <c r="L19" s="232"/>
      <c r="M19" s="232"/>
      <c r="N19" s="232"/>
      <c r="O19" s="232"/>
      <c r="P19" s="232"/>
      <c r="Q19" s="232"/>
      <c r="R19" s="232"/>
    </row>
    <row r="20" spans="1:27" s="22" customFormat="1" ht="19.2" customHeight="1" x14ac:dyDescent="0.3">
      <c r="A20" s="339"/>
      <c r="B20" s="354"/>
      <c r="C20" s="354"/>
      <c r="D20" s="352"/>
      <c r="E20" s="352"/>
      <c r="F20" s="350"/>
      <c r="G20" s="348"/>
      <c r="I20" s="337"/>
      <c r="J20" s="337"/>
      <c r="L20" s="232"/>
      <c r="M20" s="232"/>
      <c r="N20" s="232"/>
      <c r="O20" s="232"/>
      <c r="P20" s="232"/>
      <c r="Q20" s="232"/>
      <c r="R20" s="232"/>
    </row>
    <row r="21" spans="1:27" ht="64.2" customHeight="1" x14ac:dyDescent="0.3">
      <c r="A21" s="213">
        <v>1</v>
      </c>
      <c r="B21" s="136" t="s">
        <v>20</v>
      </c>
      <c r="C21" s="12" t="s">
        <v>6</v>
      </c>
      <c r="D21" s="12">
        <v>12</v>
      </c>
      <c r="E21" s="218">
        <v>28750</v>
      </c>
      <c r="F21" s="13">
        <f>28750*12</f>
        <v>345000</v>
      </c>
      <c r="G21" s="76" t="s">
        <v>88</v>
      </c>
      <c r="I21" s="10">
        <f>F21/O$2</f>
        <v>121.14784953788239</v>
      </c>
      <c r="J21" s="10">
        <f>F21/O$2</f>
        <v>121.14784953788239</v>
      </c>
      <c r="L21" s="232"/>
      <c r="M21" s="232"/>
      <c r="N21" s="232"/>
      <c r="O21" s="232"/>
      <c r="P21" s="232"/>
      <c r="Q21" s="232"/>
      <c r="R21" s="232"/>
    </row>
    <row r="22" spans="1:27" ht="19.2" customHeight="1" x14ac:dyDescent="0.3">
      <c r="A22" s="213">
        <f>A21+1</f>
        <v>2</v>
      </c>
      <c r="B22" s="213" t="s">
        <v>7</v>
      </c>
      <c r="C22" s="12" t="s">
        <v>6</v>
      </c>
      <c r="D22" s="12">
        <v>12</v>
      </c>
      <c r="E22" s="219">
        <v>0.30199999999999999</v>
      </c>
      <c r="F22" s="13">
        <f>F21*E22</f>
        <v>104190</v>
      </c>
      <c r="G22" s="76" t="s">
        <v>32</v>
      </c>
      <c r="I22" s="10">
        <f t="shared" ref="I22" si="0">F22/O$2</f>
        <v>36.586650560440482</v>
      </c>
      <c r="J22" s="10">
        <f t="shared" ref="J22" si="1">F22/O$2</f>
        <v>36.586650560440482</v>
      </c>
      <c r="L22" s="232"/>
      <c r="M22" s="232"/>
      <c r="N22" s="232"/>
      <c r="O22" s="232"/>
      <c r="P22" s="232"/>
      <c r="Q22" s="232"/>
      <c r="R22" s="232"/>
    </row>
    <row r="23" spans="1:27" ht="28.8" x14ac:dyDescent="0.3">
      <c r="A23" s="213">
        <f t="shared" ref="A23:A33" si="2">A22+1</f>
        <v>3</v>
      </c>
      <c r="B23" s="136" t="s">
        <v>118</v>
      </c>
      <c r="C23" s="12" t="s">
        <v>6</v>
      </c>
      <c r="D23" s="12">
        <v>12</v>
      </c>
      <c r="E23" s="218">
        <v>74000</v>
      </c>
      <c r="F23" s="13">
        <f>E23*12</f>
        <v>888000</v>
      </c>
      <c r="G23" s="76" t="s">
        <v>152</v>
      </c>
      <c r="I23" s="10">
        <f t="shared" ref="I23" si="3">F23/O$2</f>
        <v>311.82403011489731</v>
      </c>
      <c r="J23" s="10">
        <f t="shared" ref="J23" si="4">F23/O$2</f>
        <v>311.82403011489731</v>
      </c>
      <c r="L23" s="74"/>
      <c r="M23" s="74"/>
      <c r="N23" s="74"/>
      <c r="O23" s="74"/>
      <c r="P23" s="74"/>
      <c r="Q23" s="74"/>
    </row>
    <row r="24" spans="1:27" ht="60" customHeight="1" x14ac:dyDescent="0.3">
      <c r="A24" s="213">
        <f t="shared" si="2"/>
        <v>4</v>
      </c>
      <c r="B24" s="136" t="s">
        <v>143</v>
      </c>
      <c r="C24" s="12" t="s">
        <v>6</v>
      </c>
      <c r="D24" s="12">
        <v>12</v>
      </c>
      <c r="E24" s="218">
        <v>20000</v>
      </c>
      <c r="F24" s="13">
        <f>D24*E24</f>
        <v>240000</v>
      </c>
      <c r="G24" s="76" t="s">
        <v>154</v>
      </c>
      <c r="I24" s="10">
        <f t="shared" ref="I24:I25" si="5">F24/O$2</f>
        <v>84.276764895918191</v>
      </c>
      <c r="J24" s="10">
        <f t="shared" ref="J24:J25" si="6">F24/O$2</f>
        <v>84.276764895918191</v>
      </c>
      <c r="L24" s="74"/>
      <c r="M24" s="74"/>
      <c r="N24" s="74"/>
      <c r="O24" s="74"/>
      <c r="P24" s="74"/>
      <c r="Q24" s="74"/>
    </row>
    <row r="25" spans="1:27" ht="28.8" x14ac:dyDescent="0.3">
      <c r="A25" s="213">
        <f t="shared" si="2"/>
        <v>5</v>
      </c>
      <c r="B25" s="101" t="s">
        <v>80</v>
      </c>
      <c r="C25" s="32" t="s">
        <v>10</v>
      </c>
      <c r="D25" s="32">
        <v>1</v>
      </c>
      <c r="E25" s="150">
        <v>40000</v>
      </c>
      <c r="F25" s="43">
        <f>D25*E25</f>
        <v>40000</v>
      </c>
      <c r="G25" s="33" t="s">
        <v>119</v>
      </c>
      <c r="I25" s="10">
        <f t="shared" si="5"/>
        <v>14.046127482653031</v>
      </c>
      <c r="J25" s="10">
        <f t="shared" si="6"/>
        <v>14.046127482653031</v>
      </c>
    </row>
    <row r="26" spans="1:27" ht="167.4" customHeight="1" x14ac:dyDescent="0.3">
      <c r="A26" s="213">
        <f t="shared" si="2"/>
        <v>6</v>
      </c>
      <c r="B26" s="136" t="s">
        <v>64</v>
      </c>
      <c r="C26" s="12" t="s">
        <v>6</v>
      </c>
      <c r="D26" s="12">
        <v>12</v>
      </c>
      <c r="E26" s="151">
        <v>30000</v>
      </c>
      <c r="F26" s="13">
        <f t="shared" ref="F26:F50" si="7">D26*E26</f>
        <v>360000</v>
      </c>
      <c r="G26" s="30" t="s">
        <v>120</v>
      </c>
      <c r="I26" s="10">
        <f t="shared" ref="I26" si="8">F26/O$2</f>
        <v>126.41514734387728</v>
      </c>
      <c r="J26" s="10">
        <f t="shared" ref="J26" si="9">F26/O$2</f>
        <v>126.41514734387728</v>
      </c>
    </row>
    <row r="27" spans="1:27" x14ac:dyDescent="0.3">
      <c r="A27" s="213">
        <f t="shared" si="2"/>
        <v>7</v>
      </c>
      <c r="B27" s="136" t="s">
        <v>76</v>
      </c>
      <c r="C27" s="12" t="s">
        <v>10</v>
      </c>
      <c r="D27" s="12">
        <v>1</v>
      </c>
      <c r="E27" s="151">
        <v>15000</v>
      </c>
      <c r="F27" s="13">
        <f>E27</f>
        <v>15000</v>
      </c>
      <c r="G27" s="30" t="s">
        <v>77</v>
      </c>
      <c r="I27" s="10">
        <f t="shared" ref="I27:I28" si="10">F27/O$2</f>
        <v>5.267297805994887</v>
      </c>
      <c r="J27" s="10">
        <f t="shared" ref="J27:J28" si="11">F27/O$2</f>
        <v>5.267297805994887</v>
      </c>
    </row>
    <row r="28" spans="1:27" ht="28.8" x14ac:dyDescent="0.3">
      <c r="A28" s="213">
        <f t="shared" si="2"/>
        <v>8</v>
      </c>
      <c r="B28" s="101" t="s">
        <v>8</v>
      </c>
      <c r="C28" s="32" t="s">
        <v>9</v>
      </c>
      <c r="D28" s="32">
        <v>12</v>
      </c>
      <c r="E28" s="150">
        <v>7000</v>
      </c>
      <c r="F28" s="43">
        <f>D28*E28+2500</f>
        <v>86500</v>
      </c>
      <c r="G28" s="33" t="s">
        <v>121</v>
      </c>
      <c r="I28" s="10">
        <f t="shared" si="10"/>
        <v>30.374750681237181</v>
      </c>
      <c r="J28" s="10">
        <f t="shared" si="11"/>
        <v>30.374750681237181</v>
      </c>
    </row>
    <row r="29" spans="1:27" ht="139.19999999999999" customHeight="1" x14ac:dyDescent="0.3">
      <c r="A29" s="213">
        <f t="shared" si="2"/>
        <v>9</v>
      </c>
      <c r="B29" s="101" t="s">
        <v>38</v>
      </c>
      <c r="C29" s="32" t="s">
        <v>10</v>
      </c>
      <c r="D29" s="32">
        <v>1</v>
      </c>
      <c r="E29" s="150">
        <f>700*100</f>
        <v>70000</v>
      </c>
      <c r="F29" s="43">
        <f>E29</f>
        <v>70000</v>
      </c>
      <c r="G29" s="33" t="s">
        <v>156</v>
      </c>
      <c r="I29" s="10">
        <f t="shared" ref="I29" si="12">F29/O$2</f>
        <v>24.580723094642806</v>
      </c>
      <c r="J29" s="10">
        <f t="shared" ref="J29" si="13">F29/O$2</f>
        <v>24.580723094642806</v>
      </c>
    </row>
    <row r="30" spans="1:27" ht="86.4" x14ac:dyDescent="0.3">
      <c r="A30" s="213">
        <f t="shared" si="2"/>
        <v>10</v>
      </c>
      <c r="B30" s="101" t="s">
        <v>44</v>
      </c>
      <c r="C30" s="32" t="s">
        <v>58</v>
      </c>
      <c r="D30" s="32">
        <v>200</v>
      </c>
      <c r="E30" s="150">
        <v>500</v>
      </c>
      <c r="F30" s="43">
        <f t="shared" si="7"/>
        <v>100000</v>
      </c>
      <c r="G30" s="33" t="s">
        <v>151</v>
      </c>
      <c r="I30" s="10">
        <f t="shared" ref="I30:I32" si="14">F30/O$2</f>
        <v>35.115318706632578</v>
      </c>
      <c r="J30" s="10">
        <f t="shared" ref="J30:J32" si="15">F30/O$2</f>
        <v>35.115318706632578</v>
      </c>
    </row>
    <row r="31" spans="1:27" ht="153" customHeight="1" x14ac:dyDescent="0.3">
      <c r="A31" s="213">
        <f t="shared" si="2"/>
        <v>11</v>
      </c>
      <c r="B31" s="101" t="s">
        <v>78</v>
      </c>
      <c r="C31" s="32" t="s">
        <v>18</v>
      </c>
      <c r="D31" s="32">
        <v>5</v>
      </c>
      <c r="E31" s="150">
        <f>100000</f>
        <v>100000</v>
      </c>
      <c r="F31" s="43">
        <f t="shared" si="7"/>
        <v>500000</v>
      </c>
      <c r="G31" s="33" t="s">
        <v>155</v>
      </c>
      <c r="I31" s="10">
        <f t="shared" si="14"/>
        <v>175.57659353316291</v>
      </c>
      <c r="J31" s="10">
        <f t="shared" si="15"/>
        <v>175.57659353316291</v>
      </c>
    </row>
    <row r="32" spans="1:27" ht="62.4" customHeight="1" x14ac:dyDescent="0.3">
      <c r="A32" s="213">
        <f t="shared" si="2"/>
        <v>12</v>
      </c>
      <c r="B32" s="101" t="s">
        <v>153</v>
      </c>
      <c r="C32" s="32" t="s">
        <v>9</v>
      </c>
      <c r="D32" s="32">
        <v>12</v>
      </c>
      <c r="E32" s="150">
        <v>10000</v>
      </c>
      <c r="F32" s="43">
        <f t="shared" si="7"/>
        <v>120000</v>
      </c>
      <c r="G32" s="33" t="s">
        <v>42</v>
      </c>
      <c r="I32" s="10">
        <f t="shared" si="14"/>
        <v>42.138382447959096</v>
      </c>
      <c r="J32" s="10">
        <f t="shared" si="15"/>
        <v>42.138382447959096</v>
      </c>
    </row>
    <row r="33" spans="1:10" ht="94.2" customHeight="1" thickBot="1" x14ac:dyDescent="0.35">
      <c r="A33" s="213">
        <f t="shared" si="2"/>
        <v>13</v>
      </c>
      <c r="B33" s="42" t="s">
        <v>67</v>
      </c>
      <c r="C33" s="38" t="s">
        <v>10</v>
      </c>
      <c r="D33" s="38">
        <v>1</v>
      </c>
      <c r="E33" s="39">
        <f>20*15000</f>
        <v>300000</v>
      </c>
      <c r="F33" s="40">
        <f t="shared" si="7"/>
        <v>300000</v>
      </c>
      <c r="G33" s="41" t="s">
        <v>122</v>
      </c>
      <c r="I33" s="10">
        <f>F33/M$2</f>
        <v>281.81980441705576</v>
      </c>
      <c r="J33" s="28"/>
    </row>
    <row r="34" spans="1:10" ht="46.8" customHeight="1" thickTop="1" x14ac:dyDescent="0.3">
      <c r="A34" s="99" t="s">
        <v>84</v>
      </c>
      <c r="B34" s="18" t="s">
        <v>54</v>
      </c>
      <c r="C34" s="24" t="s">
        <v>9</v>
      </c>
      <c r="D34" s="24">
        <v>12</v>
      </c>
      <c r="E34" s="25">
        <v>17000</v>
      </c>
      <c r="F34" s="26">
        <f>D34*E34</f>
        <v>204000</v>
      </c>
      <c r="G34" s="30" t="s">
        <v>148</v>
      </c>
      <c r="I34" s="10">
        <f>F34/M$2</f>
        <v>191.63746700359789</v>
      </c>
      <c r="J34" s="28"/>
    </row>
    <row r="35" spans="1:10" x14ac:dyDescent="0.3">
      <c r="A35" s="99" t="s">
        <v>85</v>
      </c>
      <c r="B35" s="18" t="s">
        <v>19</v>
      </c>
      <c r="C35" s="24" t="s">
        <v>10</v>
      </c>
      <c r="D35" s="24">
        <v>12</v>
      </c>
      <c r="E35" s="27">
        <v>15000</v>
      </c>
      <c r="F35" s="26">
        <f t="shared" ref="F35:F36" si="16">D35*E35</f>
        <v>180000</v>
      </c>
      <c r="G35" s="30" t="s">
        <v>60</v>
      </c>
      <c r="I35" s="10">
        <f>F35/O$2</f>
        <v>63.20757367193864</v>
      </c>
      <c r="J35" s="10">
        <f>F35/O$2</f>
        <v>63.20757367193864</v>
      </c>
    </row>
    <row r="36" spans="1:10" ht="16.8" customHeight="1" thickBot="1" x14ac:dyDescent="0.35">
      <c r="A36" s="100" t="s">
        <v>86</v>
      </c>
      <c r="B36" s="64" t="s">
        <v>57</v>
      </c>
      <c r="C36" s="34" t="s">
        <v>10</v>
      </c>
      <c r="D36" s="34">
        <v>12</v>
      </c>
      <c r="E36" s="35">
        <v>30000</v>
      </c>
      <c r="F36" s="36">
        <f t="shared" si="16"/>
        <v>360000</v>
      </c>
      <c r="G36" s="31" t="s">
        <v>61</v>
      </c>
      <c r="I36" s="10">
        <f>F36/M$2</f>
        <v>338.18376530046686</v>
      </c>
      <c r="J36" s="28"/>
    </row>
    <row r="37" spans="1:10" ht="87" thickTop="1" x14ac:dyDescent="0.3">
      <c r="A37" s="144" t="s">
        <v>87</v>
      </c>
      <c r="B37" s="145" t="s">
        <v>59</v>
      </c>
      <c r="C37" s="146" t="s">
        <v>18</v>
      </c>
      <c r="D37" s="146">
        <v>1</v>
      </c>
      <c r="E37" s="147">
        <v>50000</v>
      </c>
      <c r="F37" s="148">
        <f t="shared" si="7"/>
        <v>50000</v>
      </c>
      <c r="G37" s="149" t="s">
        <v>74</v>
      </c>
      <c r="I37" s="10">
        <f>F37/M$2</f>
        <v>46.96996740284262</v>
      </c>
      <c r="J37" s="28"/>
    </row>
    <row r="38" spans="1:10" x14ac:dyDescent="0.3">
      <c r="A38" s="137">
        <v>15</v>
      </c>
      <c r="B38" s="140" t="str">
        <f>B67</f>
        <v>Вывоз мусора*</v>
      </c>
      <c r="C38" s="141"/>
      <c r="D38" s="141"/>
      <c r="E38" s="141"/>
      <c r="F38" s="142">
        <f>F67</f>
        <v>281380</v>
      </c>
      <c r="G38" s="143" t="s">
        <v>46</v>
      </c>
      <c r="I38" s="106"/>
      <c r="J38" s="106"/>
    </row>
    <row r="39" spans="1:10" x14ac:dyDescent="0.3">
      <c r="A39" s="137">
        <f>A38+1</f>
        <v>16</v>
      </c>
      <c r="B39" s="139" t="s">
        <v>37</v>
      </c>
      <c r="C39" s="32" t="s">
        <v>18</v>
      </c>
      <c r="D39" s="32">
        <v>4</v>
      </c>
      <c r="E39" s="138">
        <f>10000+1000</f>
        <v>11000</v>
      </c>
      <c r="F39" s="43">
        <f>D39*E39</f>
        <v>44000</v>
      </c>
      <c r="G39" s="33" t="s">
        <v>123</v>
      </c>
      <c r="I39" s="10">
        <f>F39/O$2</f>
        <v>15.450740230918335</v>
      </c>
      <c r="J39" s="10">
        <f>F39/O$2</f>
        <v>15.450740230918335</v>
      </c>
    </row>
    <row r="40" spans="1:10" ht="47.4" customHeight="1" x14ac:dyDescent="0.3">
      <c r="A40" s="137">
        <f t="shared" ref="A40:A50" si="17">A39+1</f>
        <v>17</v>
      </c>
      <c r="B40" s="213" t="s">
        <v>23</v>
      </c>
      <c r="C40" s="12" t="s">
        <v>18</v>
      </c>
      <c r="D40" s="12">
        <v>12</v>
      </c>
      <c r="E40" s="151">
        <v>2000</v>
      </c>
      <c r="F40" s="13">
        <f t="shared" si="7"/>
        <v>24000</v>
      </c>
      <c r="G40" s="76" t="s">
        <v>43</v>
      </c>
      <c r="I40" s="10">
        <f t="shared" ref="I40" si="18">F40/O$2</f>
        <v>8.4276764895918195</v>
      </c>
      <c r="J40" s="10">
        <f t="shared" ref="J40" si="19">F40/O$2</f>
        <v>8.4276764895918195</v>
      </c>
    </row>
    <row r="41" spans="1:10" ht="28.8" x14ac:dyDescent="0.3">
      <c r="A41" s="137">
        <f t="shared" si="17"/>
        <v>18</v>
      </c>
      <c r="B41" s="213" t="s">
        <v>63</v>
      </c>
      <c r="C41" s="12" t="s">
        <v>18</v>
      </c>
      <c r="D41" s="12">
        <v>3</v>
      </c>
      <c r="E41" s="151">
        <v>30000</v>
      </c>
      <c r="F41" s="13">
        <f t="shared" si="7"/>
        <v>90000</v>
      </c>
      <c r="G41" s="76" t="s">
        <v>124</v>
      </c>
      <c r="I41" s="10">
        <f t="shared" ref="I41" si="20">F41/O$2</f>
        <v>31.60378683596932</v>
      </c>
      <c r="J41" s="10">
        <f t="shared" ref="J41" si="21">F41/O$2</f>
        <v>31.60378683596932</v>
      </c>
    </row>
    <row r="42" spans="1:10" ht="28.8" x14ac:dyDescent="0.3">
      <c r="A42" s="137">
        <f t="shared" si="17"/>
        <v>19</v>
      </c>
      <c r="B42" s="136" t="s">
        <v>65</v>
      </c>
      <c r="C42" s="12" t="s">
        <v>18</v>
      </c>
      <c r="D42" s="12">
        <v>1</v>
      </c>
      <c r="E42" s="151">
        <f>48000*3+3500*5+15000+20000</f>
        <v>196500</v>
      </c>
      <c r="F42" s="13">
        <f t="shared" si="7"/>
        <v>196500</v>
      </c>
      <c r="G42" s="76" t="s">
        <v>130</v>
      </c>
      <c r="I42" s="10">
        <f>F42/M$2</f>
        <v>184.59197189317152</v>
      </c>
      <c r="J42" s="28"/>
    </row>
    <row r="43" spans="1:10" ht="28.8" x14ac:dyDescent="0.3">
      <c r="A43" s="137">
        <f t="shared" si="17"/>
        <v>20</v>
      </c>
      <c r="B43" s="136" t="s">
        <v>66</v>
      </c>
      <c r="C43" s="12" t="s">
        <v>18</v>
      </c>
      <c r="D43" s="12">
        <v>1</v>
      </c>
      <c r="E43" s="151">
        <f>48000*3+3500*5+15000+20000</f>
        <v>196500</v>
      </c>
      <c r="F43" s="13">
        <f t="shared" si="7"/>
        <v>196500</v>
      </c>
      <c r="G43" s="76" t="s">
        <v>129</v>
      </c>
      <c r="I43" s="28"/>
      <c r="J43" s="10">
        <f>F43/N2</f>
        <v>110.19206504976869</v>
      </c>
    </row>
    <row r="44" spans="1:10" x14ac:dyDescent="0.3">
      <c r="A44" s="137">
        <f t="shared" si="17"/>
        <v>21</v>
      </c>
      <c r="B44" s="15" t="s">
        <v>45</v>
      </c>
      <c r="C44" s="11" t="s">
        <v>9</v>
      </c>
      <c r="D44" s="11">
        <v>5</v>
      </c>
      <c r="E44" s="14">
        <f>15000*D44</f>
        <v>75000</v>
      </c>
      <c r="F44" s="13">
        <f>D44*E44</f>
        <v>375000</v>
      </c>
      <c r="G44" s="76" t="s">
        <v>149</v>
      </c>
      <c r="I44" s="10">
        <f>F44/M$2</f>
        <v>352.27475552131966</v>
      </c>
      <c r="J44" s="28"/>
    </row>
    <row r="45" spans="1:10" ht="65.400000000000006" customHeight="1" x14ac:dyDescent="0.3">
      <c r="A45" s="137">
        <f t="shared" si="17"/>
        <v>22</v>
      </c>
      <c r="B45" s="136" t="s">
        <v>180</v>
      </c>
      <c r="C45" s="11" t="s">
        <v>9</v>
      </c>
      <c r="D45" s="11">
        <v>5</v>
      </c>
      <c r="E45" s="14">
        <f>10000*4</f>
        <v>40000</v>
      </c>
      <c r="F45" s="13">
        <f>D45*E45</f>
        <v>200000</v>
      </c>
      <c r="G45" s="76" t="s">
        <v>150</v>
      </c>
      <c r="I45" s="28"/>
      <c r="J45" s="10">
        <f>F45/N$2</f>
        <v>112.15477358755082</v>
      </c>
    </row>
    <row r="46" spans="1:10" ht="28.8" x14ac:dyDescent="0.3">
      <c r="A46" s="137">
        <f t="shared" si="17"/>
        <v>23</v>
      </c>
      <c r="B46" s="136" t="s">
        <v>70</v>
      </c>
      <c r="C46" s="11" t="s">
        <v>71</v>
      </c>
      <c r="D46" s="11">
        <v>5</v>
      </c>
      <c r="E46" s="14">
        <v>6000</v>
      </c>
      <c r="F46" s="13">
        <f>F70</f>
        <v>40000</v>
      </c>
      <c r="G46" s="76" t="str">
        <f>G70</f>
        <v xml:space="preserve">Дополнительная плата за чистку до дома 8 участков: 1,000 руб*8уч*5мес=40,000.**
</v>
      </c>
      <c r="I46" s="105"/>
      <c r="J46" s="105"/>
    </row>
    <row r="47" spans="1:10" ht="76.2" customHeight="1" x14ac:dyDescent="0.3">
      <c r="A47" s="137">
        <f t="shared" si="17"/>
        <v>24</v>
      </c>
      <c r="B47" s="15" t="s">
        <v>131</v>
      </c>
      <c r="C47" s="12" t="s">
        <v>18</v>
      </c>
      <c r="D47" s="12">
        <v>1</v>
      </c>
      <c r="E47" s="14">
        <f>25000*14+10000*10+3000+10000*14</f>
        <v>593000</v>
      </c>
      <c r="F47" s="13">
        <f t="shared" ref="F47" si="22">D47*E47</f>
        <v>593000</v>
      </c>
      <c r="G47" s="214" t="s">
        <v>182</v>
      </c>
      <c r="I47" s="10">
        <f>F47/M$2</f>
        <v>557.06381339771349</v>
      </c>
      <c r="J47" s="28"/>
    </row>
    <row r="48" spans="1:10" ht="225" customHeight="1" x14ac:dyDescent="0.3">
      <c r="A48" s="137">
        <f t="shared" si="17"/>
        <v>25</v>
      </c>
      <c r="B48" s="15" t="s">
        <v>132</v>
      </c>
      <c r="C48" s="12" t="s">
        <v>18</v>
      </c>
      <c r="D48" s="12">
        <v>1</v>
      </c>
      <c r="E48" s="14">
        <f>626000+941000</f>
        <v>1567000</v>
      </c>
      <c r="F48" s="13">
        <f>E48</f>
        <v>1567000</v>
      </c>
      <c r="G48" s="214" t="s">
        <v>181</v>
      </c>
      <c r="I48" s="28"/>
      <c r="J48" s="10">
        <f>F48/N$2</f>
        <v>878.73265105846065</v>
      </c>
    </row>
    <row r="49" spans="1:15" s="356" customFormat="1" x14ac:dyDescent="0.3">
      <c r="A49" s="137">
        <f t="shared" si="17"/>
        <v>26</v>
      </c>
      <c r="B49" s="15" t="s">
        <v>81</v>
      </c>
      <c r="C49" s="12" t="s">
        <v>82</v>
      </c>
      <c r="D49" s="12">
        <v>4</v>
      </c>
      <c r="E49" s="14">
        <v>30000</v>
      </c>
      <c r="F49" s="355">
        <f>D49*E49</f>
        <v>120000</v>
      </c>
      <c r="G49" s="30" t="s">
        <v>83</v>
      </c>
      <c r="I49" s="357">
        <f t="shared" ref="I49:I50" si="23">F49/O$2</f>
        <v>42.138382447959096</v>
      </c>
      <c r="J49" s="357">
        <f t="shared" ref="J49:J50" si="24">F49/O$2</f>
        <v>42.138382447959096</v>
      </c>
    </row>
    <row r="50" spans="1:15" ht="19.8" customHeight="1" thickBot="1" x14ac:dyDescent="0.35">
      <c r="A50" s="137">
        <f t="shared" si="17"/>
        <v>27</v>
      </c>
      <c r="B50" s="37" t="s">
        <v>24</v>
      </c>
      <c r="C50" s="38" t="s">
        <v>9</v>
      </c>
      <c r="D50" s="38">
        <v>12</v>
      </c>
      <c r="E50" s="39">
        <v>2000</v>
      </c>
      <c r="F50" s="40">
        <f t="shared" si="7"/>
        <v>24000</v>
      </c>
      <c r="G50" s="41" t="s">
        <v>125</v>
      </c>
      <c r="I50" s="10">
        <f t="shared" si="23"/>
        <v>8.4276764895918195</v>
      </c>
      <c r="J50" s="10">
        <f t="shared" si="24"/>
        <v>8.4276764895918195</v>
      </c>
    </row>
    <row r="51" spans="1:15" s="62" customFormat="1" ht="15.6" thickTop="1" thickBot="1" x14ac:dyDescent="0.35">
      <c r="A51" s="69"/>
      <c r="B51" s="70"/>
      <c r="C51" s="71"/>
      <c r="D51" s="71"/>
      <c r="E51" s="72"/>
      <c r="F51" s="73">
        <f>SUM(F21:F50)</f>
        <v>7714070</v>
      </c>
      <c r="G51" s="65"/>
      <c r="I51" s="63">
        <f>SUM(I21:I50)</f>
        <v>3129.1470173074349</v>
      </c>
      <c r="J51" s="63">
        <f>SUM(J21:J50)</f>
        <v>2277.6849620670473</v>
      </c>
    </row>
    <row r="52" spans="1:15" ht="112.2" customHeight="1" thickTop="1" thickBot="1" x14ac:dyDescent="0.35">
      <c r="A52" s="102">
        <f>A50+1</f>
        <v>28</v>
      </c>
      <c r="B52" s="77" t="s">
        <v>35</v>
      </c>
      <c r="C52" s="78"/>
      <c r="D52" s="78"/>
      <c r="E52" s="79"/>
      <c r="F52" s="80">
        <f>(F51-F21-F22)*5%</f>
        <v>363244</v>
      </c>
      <c r="G52" s="81" t="s">
        <v>75</v>
      </c>
      <c r="I52" s="10">
        <f t="shared" ref="I52" si="25">F52/O$2</f>
        <v>127.55428828272045</v>
      </c>
      <c r="J52" s="10">
        <f t="shared" ref="J52" si="26">F52/O$2</f>
        <v>127.55428828272045</v>
      </c>
    </row>
    <row r="53" spans="1:15" ht="15" thickBot="1" x14ac:dyDescent="0.35">
      <c r="A53" s="332"/>
      <c r="B53" s="333"/>
      <c r="C53" s="94"/>
      <c r="D53" s="94"/>
      <c r="E53" s="95" t="s">
        <v>11</v>
      </c>
      <c r="F53" s="96">
        <f>SUM(F51:F52)</f>
        <v>8077314</v>
      </c>
      <c r="G53" s="97"/>
      <c r="I53" s="29">
        <f>SUM(I51:I52)</f>
        <v>3256.7013055901552</v>
      </c>
      <c r="J53" s="29">
        <f>SUM(J51:J52)</f>
        <v>2405.2392503497676</v>
      </c>
      <c r="L53" s="119"/>
      <c r="M53" s="119"/>
      <c r="N53" s="119"/>
      <c r="O53" s="9"/>
    </row>
    <row r="54" spans="1:15" x14ac:dyDescent="0.3">
      <c r="A54" s="346"/>
      <c r="B54" s="346"/>
      <c r="C54" s="6"/>
      <c r="D54" s="6"/>
      <c r="E54" s="5"/>
      <c r="F54" s="4"/>
      <c r="G54" s="16"/>
      <c r="I54" s="20"/>
      <c r="J54" s="23"/>
      <c r="O54" s="9"/>
    </row>
    <row r="55" spans="1:15" ht="18.600000000000001" thickBot="1" x14ac:dyDescent="0.35">
      <c r="A55" s="331" t="s">
        <v>2</v>
      </c>
      <c r="B55" s="331"/>
      <c r="C55" s="8"/>
      <c r="D55" s="8"/>
      <c r="E55" s="7"/>
      <c r="F55" s="4"/>
      <c r="G55" s="17"/>
    </row>
    <row r="56" spans="1:15" s="22" customFormat="1" ht="48" customHeight="1" thickBot="1" x14ac:dyDescent="0.35">
      <c r="A56" s="48" t="s">
        <v>1</v>
      </c>
      <c r="B56" s="49" t="s">
        <v>3</v>
      </c>
      <c r="C56" s="50" t="s">
        <v>68</v>
      </c>
      <c r="D56" s="50" t="s">
        <v>4</v>
      </c>
      <c r="E56" s="49" t="s">
        <v>5</v>
      </c>
      <c r="F56" s="51" t="s">
        <v>142</v>
      </c>
      <c r="G56" s="66" t="s">
        <v>13</v>
      </c>
      <c r="I56" s="19" t="s">
        <v>14</v>
      </c>
      <c r="J56" s="19" t="s">
        <v>14</v>
      </c>
    </row>
    <row r="57" spans="1:15" ht="63.6" customHeight="1" x14ac:dyDescent="0.3">
      <c r="A57" s="103">
        <v>29</v>
      </c>
      <c r="B57" s="53" t="s">
        <v>174</v>
      </c>
      <c r="C57" s="54" t="s">
        <v>18</v>
      </c>
      <c r="D57" s="55">
        <v>1</v>
      </c>
      <c r="E57" s="56">
        <v>280000</v>
      </c>
      <c r="F57" s="43">
        <f t="shared" ref="F57:F59" si="27">D57*E57</f>
        <v>280000</v>
      </c>
      <c r="G57" s="33" t="s">
        <v>178</v>
      </c>
      <c r="I57" s="10">
        <f t="shared" ref="I57:I59" si="28">F57/O$2</f>
        <v>98.322892378571225</v>
      </c>
      <c r="J57" s="10">
        <f t="shared" ref="J57:J59" si="29">F57/O$2</f>
        <v>98.322892378571225</v>
      </c>
    </row>
    <row r="58" spans="1:15" ht="28.8" x14ac:dyDescent="0.3">
      <c r="A58" s="103">
        <f>A57+1</f>
        <v>30</v>
      </c>
      <c r="B58" s="53" t="s">
        <v>168</v>
      </c>
      <c r="C58" s="54" t="s">
        <v>18</v>
      </c>
      <c r="D58" s="55">
        <v>1</v>
      </c>
      <c r="E58" s="56">
        <v>50000</v>
      </c>
      <c r="F58" s="229">
        <f t="shared" si="27"/>
        <v>50000</v>
      </c>
      <c r="G58" s="33" t="s">
        <v>127</v>
      </c>
      <c r="I58" s="10">
        <f t="shared" ref="I58" si="30">F58/O$2</f>
        <v>17.557659353316289</v>
      </c>
      <c r="J58" s="10">
        <f t="shared" ref="J58" si="31">F58/O$2</f>
        <v>17.557659353316289</v>
      </c>
    </row>
    <row r="59" spans="1:15" ht="28.8" customHeight="1" x14ac:dyDescent="0.3">
      <c r="A59" s="103">
        <f>A58+1</f>
        <v>31</v>
      </c>
      <c r="B59" s="53" t="s">
        <v>177</v>
      </c>
      <c r="C59" s="54" t="s">
        <v>10</v>
      </c>
      <c r="D59" s="55">
        <v>1</v>
      </c>
      <c r="E59" s="56">
        <v>30000</v>
      </c>
      <c r="F59" s="43">
        <f t="shared" si="27"/>
        <v>30000</v>
      </c>
      <c r="G59" s="33" t="s">
        <v>126</v>
      </c>
      <c r="I59" s="10">
        <f t="shared" si="28"/>
        <v>10.534595611989774</v>
      </c>
      <c r="J59" s="10">
        <f t="shared" si="29"/>
        <v>10.534595611989774</v>
      </c>
      <c r="K59" s="104"/>
    </row>
    <row r="60" spans="1:15" ht="28.8" customHeight="1" x14ac:dyDescent="0.3">
      <c r="A60" s="103">
        <f t="shared" ref="A60:A61" si="32">A59+1</f>
        <v>32</v>
      </c>
      <c r="B60" s="53" t="s">
        <v>167</v>
      </c>
      <c r="C60" s="54" t="s">
        <v>10</v>
      </c>
      <c r="D60" s="55">
        <v>3</v>
      </c>
      <c r="E60" s="56">
        <v>10000</v>
      </c>
      <c r="F60" s="43">
        <f t="shared" ref="F60" si="33">D60*E60</f>
        <v>30000</v>
      </c>
      <c r="G60" s="33" t="s">
        <v>79</v>
      </c>
      <c r="I60" s="10">
        <f t="shared" ref="I60" si="34">F60/O$2</f>
        <v>10.534595611989774</v>
      </c>
      <c r="J60" s="10">
        <f t="shared" ref="J60" si="35">F60/O$2</f>
        <v>10.534595611989774</v>
      </c>
      <c r="K60" s="104"/>
    </row>
    <row r="61" spans="1:15" ht="86.4" x14ac:dyDescent="0.3">
      <c r="A61" s="103">
        <f t="shared" si="32"/>
        <v>33</v>
      </c>
      <c r="B61" s="53" t="s">
        <v>175</v>
      </c>
      <c r="C61" s="54" t="s">
        <v>18</v>
      </c>
      <c r="D61" s="55">
        <v>1</v>
      </c>
      <c r="E61" s="56">
        <v>400000</v>
      </c>
      <c r="F61" s="43">
        <f>D61*E61</f>
        <v>400000</v>
      </c>
      <c r="G61" s="33" t="s">
        <v>176</v>
      </c>
      <c r="I61" s="10">
        <f>F61/O$2</f>
        <v>140.46127482653031</v>
      </c>
      <c r="J61" s="10">
        <f>F61/O$2</f>
        <v>140.46127482653031</v>
      </c>
    </row>
    <row r="62" spans="1:15" ht="15" thickBot="1" x14ac:dyDescent="0.35">
      <c r="A62" s="332"/>
      <c r="B62" s="333"/>
      <c r="C62" s="94"/>
      <c r="D62" s="94"/>
      <c r="E62" s="95" t="s">
        <v>12</v>
      </c>
      <c r="F62" s="96">
        <f>SUM(F57:F61)</f>
        <v>790000</v>
      </c>
      <c r="G62" s="98"/>
      <c r="I62" s="21">
        <f>SUM(I57:I61)</f>
        <v>277.41101778239738</v>
      </c>
      <c r="J62" s="21">
        <f>SUM(J57:J61)</f>
        <v>277.41101778239738</v>
      </c>
      <c r="L62" s="119"/>
      <c r="M62" s="119"/>
      <c r="N62" s="119"/>
      <c r="O62" s="9"/>
    </row>
    <row r="63" spans="1:15" x14ac:dyDescent="0.3">
      <c r="A63" s="1"/>
      <c r="B63" s="1"/>
      <c r="C63" s="2"/>
      <c r="D63" s="2"/>
      <c r="E63" s="1"/>
      <c r="F63" s="3"/>
      <c r="G63" s="16"/>
      <c r="I63" s="60">
        <f>I53+I62</f>
        <v>3534.1123233725525</v>
      </c>
      <c r="J63" s="60">
        <f>J53+J62</f>
        <v>2682.6502681321649</v>
      </c>
      <c r="L63" s="119"/>
      <c r="M63" s="119"/>
      <c r="N63" s="120"/>
      <c r="O63" s="119"/>
    </row>
    <row r="64" spans="1:15" ht="18" x14ac:dyDescent="0.3">
      <c r="A64" s="306"/>
      <c r="B64" s="306"/>
      <c r="C64" s="2"/>
      <c r="D64" s="57"/>
      <c r="E64" s="58" t="s">
        <v>33</v>
      </c>
      <c r="F64" s="59">
        <f>F53+F62</f>
        <v>8867314</v>
      </c>
      <c r="G64" s="16"/>
      <c r="H64" s="9"/>
    </row>
    <row r="65" spans="1:15" x14ac:dyDescent="0.3">
      <c r="A65" s="306"/>
      <c r="B65" s="306"/>
      <c r="C65" s="2"/>
      <c r="D65" s="2"/>
      <c r="E65" s="1"/>
      <c r="G65" s="16"/>
      <c r="I65" s="9"/>
      <c r="J65" s="9"/>
    </row>
    <row r="66" spans="1:15" ht="18.600000000000001" thickBot="1" x14ac:dyDescent="0.4">
      <c r="A66" s="85" t="s">
        <v>53</v>
      </c>
      <c r="I66" s="22" t="s">
        <v>47</v>
      </c>
      <c r="J66" s="82" t="s">
        <v>48</v>
      </c>
    </row>
    <row r="67" spans="1:15" ht="121.8" customHeight="1" thickTop="1" thickBot="1" x14ac:dyDescent="0.35">
      <c r="A67" s="44">
        <f>A38</f>
        <v>15</v>
      </c>
      <c r="B67" s="52" t="s">
        <v>49</v>
      </c>
      <c r="C67" s="45" t="s">
        <v>10</v>
      </c>
      <c r="D67" s="45">
        <v>1</v>
      </c>
      <c r="E67" s="61" t="s">
        <v>34</v>
      </c>
      <c r="F67" s="46">
        <f>(227000+2400*12)*1.1</f>
        <v>281380</v>
      </c>
      <c r="G67" s="47" t="s">
        <v>162</v>
      </c>
      <c r="I67" s="152">
        <v>58</v>
      </c>
      <c r="J67" s="87">
        <f>F67/I67/12</f>
        <v>404.28160919540232</v>
      </c>
      <c r="N67" s="120"/>
    </row>
    <row r="68" spans="1:15" ht="29.4" customHeight="1" thickTop="1" x14ac:dyDescent="0.3">
      <c r="A68" s="334" t="s">
        <v>183</v>
      </c>
      <c r="B68" s="334"/>
      <c r="C68" s="334"/>
      <c r="D68" s="334"/>
      <c r="E68" s="334"/>
      <c r="F68" s="334"/>
      <c r="G68" s="334"/>
      <c r="N68" s="120"/>
    </row>
    <row r="69" spans="1:15" x14ac:dyDescent="0.3">
      <c r="I69" s="22" t="s">
        <v>47</v>
      </c>
      <c r="J69" t="s">
        <v>50</v>
      </c>
      <c r="N69" s="120"/>
    </row>
    <row r="70" spans="1:15" ht="45" customHeight="1" x14ac:dyDescent="0.3">
      <c r="A70" s="83">
        <f>A45</f>
        <v>22</v>
      </c>
      <c r="B70" s="15" t="s">
        <v>62</v>
      </c>
      <c r="C70" s="11" t="s">
        <v>9</v>
      </c>
      <c r="D70" s="11">
        <v>5</v>
      </c>
      <c r="E70" s="14">
        <v>1000</v>
      </c>
      <c r="F70" s="13">
        <v>40000</v>
      </c>
      <c r="G70" s="76" t="s">
        <v>144</v>
      </c>
      <c r="I70" s="10">
        <v>8</v>
      </c>
      <c r="J70" s="87">
        <f>F70/I70/12</f>
        <v>416.66666666666669</v>
      </c>
      <c r="K70" s="107"/>
      <c r="N70" s="120"/>
    </row>
    <row r="71" spans="1:15" x14ac:dyDescent="0.3">
      <c r="A71" s="84" t="s">
        <v>141</v>
      </c>
      <c r="N71" s="119"/>
      <c r="O71" s="9"/>
    </row>
    <row r="72" spans="1:15" x14ac:dyDescent="0.3">
      <c r="G72" s="86"/>
    </row>
  </sheetData>
  <mergeCells count="24">
    <mergeCell ref="A1:G1"/>
    <mergeCell ref="A5:F5"/>
    <mergeCell ref="A12:G12"/>
    <mergeCell ref="L15:L16"/>
    <mergeCell ref="A65:B65"/>
    <mergeCell ref="A17:B17"/>
    <mergeCell ref="A53:B53"/>
    <mergeCell ref="A54:B54"/>
    <mergeCell ref="A2:G2"/>
    <mergeCell ref="G18:G20"/>
    <mergeCell ref="F18:F20"/>
    <mergeCell ref="E18:E20"/>
    <mergeCell ref="D18:D20"/>
    <mergeCell ref="C18:C20"/>
    <mergeCell ref="B18:B20"/>
    <mergeCell ref="P8:R9"/>
    <mergeCell ref="A55:B55"/>
    <mergeCell ref="A62:B62"/>
    <mergeCell ref="A68:G68"/>
    <mergeCell ref="A64:B64"/>
    <mergeCell ref="I18:I20"/>
    <mergeCell ref="J18:J20"/>
    <mergeCell ref="A18:A20"/>
    <mergeCell ref="L8:L9"/>
  </mergeCells>
  <phoneticPr fontId="21" type="noConversion"/>
  <pageMargins left="0.25" right="0.25" top="0.75" bottom="0.75" header="0.3" footer="0.3"/>
  <pageSetup paperSize="9" orientation="portrait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64AA1-FE11-4485-8CBE-F79F4D02E2CA}">
  <dimension ref="A1:D3"/>
  <sheetViews>
    <sheetView workbookViewId="0">
      <selection activeCell="G18" sqref="G18"/>
    </sheetView>
  </sheetViews>
  <sheetFormatPr defaultRowHeight="14.4" x14ac:dyDescent="0.3"/>
  <sheetData>
    <row r="1" spans="1:4" x14ac:dyDescent="0.3">
      <c r="B1" t="s">
        <v>15</v>
      </c>
      <c r="C1" t="s">
        <v>16</v>
      </c>
      <c r="D1" t="s">
        <v>17</v>
      </c>
    </row>
    <row r="2" spans="1:4" x14ac:dyDescent="0.3">
      <c r="A2" t="s">
        <v>41</v>
      </c>
      <c r="B2">
        <v>1064.51</v>
      </c>
      <c r="C2">
        <v>1783.25</v>
      </c>
      <c r="D2">
        <v>2847.76</v>
      </c>
    </row>
    <row r="3" spans="1:4" x14ac:dyDescent="0.3">
      <c r="A3" t="s">
        <v>40</v>
      </c>
      <c r="B3">
        <v>83</v>
      </c>
      <c r="C3">
        <v>158</v>
      </c>
      <c r="D3">
        <v>241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749A1-3B5C-45B1-8D25-0A347201A733}">
  <dimension ref="A1:F10"/>
  <sheetViews>
    <sheetView workbookViewId="0">
      <selection activeCell="K16" sqref="K16"/>
    </sheetView>
  </sheetViews>
  <sheetFormatPr defaultRowHeight="14.4" x14ac:dyDescent="0.3"/>
  <sheetData>
    <row r="1" spans="1:6" x14ac:dyDescent="0.3">
      <c r="A1" t="s">
        <v>133</v>
      </c>
    </row>
    <row r="2" spans="1:6" x14ac:dyDescent="0.3">
      <c r="C2">
        <v>2024</v>
      </c>
      <c r="D2">
        <v>2025</v>
      </c>
      <c r="E2">
        <v>2026</v>
      </c>
      <c r="F2" s="82" t="s">
        <v>136</v>
      </c>
    </row>
    <row r="3" spans="1:6" x14ac:dyDescent="0.3">
      <c r="A3" t="s">
        <v>135</v>
      </c>
      <c r="D3" s="215">
        <v>0.2</v>
      </c>
      <c r="E3" s="215">
        <v>0.22</v>
      </c>
      <c r="F3" s="216">
        <f>E3*100/D3-100</f>
        <v>10</v>
      </c>
    </row>
    <row r="4" spans="1:6" x14ac:dyDescent="0.3">
      <c r="A4" t="s">
        <v>106</v>
      </c>
      <c r="D4">
        <v>925.32</v>
      </c>
      <c r="E4">
        <v>1040.99</v>
      </c>
      <c r="F4" s="216">
        <f>(E4*100/D4-100)*2</f>
        <v>25.001080707214783</v>
      </c>
    </row>
    <row r="5" spans="1:6" x14ac:dyDescent="0.3">
      <c r="A5" t="s">
        <v>134</v>
      </c>
      <c r="D5">
        <v>1088.1099999999999</v>
      </c>
      <c r="E5">
        <v>1200</v>
      </c>
      <c r="F5" s="216">
        <f>(E5*100/D5-100)*2</f>
        <v>20.565935429322423</v>
      </c>
    </row>
    <row r="6" spans="1:6" x14ac:dyDescent="0.3">
      <c r="A6" t="s">
        <v>137</v>
      </c>
      <c r="C6">
        <v>3.7</v>
      </c>
      <c r="D6">
        <v>4.3600000000000003</v>
      </c>
      <c r="E6">
        <v>4.43</v>
      </c>
      <c r="F6" s="216">
        <v>20</v>
      </c>
    </row>
    <row r="7" spans="1:6" x14ac:dyDescent="0.3">
      <c r="A7" t="s">
        <v>137</v>
      </c>
      <c r="C7">
        <v>8.94</v>
      </c>
      <c r="D7">
        <v>10.14</v>
      </c>
      <c r="E7">
        <v>10.3</v>
      </c>
      <c r="F7" s="216">
        <v>15</v>
      </c>
    </row>
    <row r="8" spans="1:6" x14ac:dyDescent="0.3">
      <c r="A8" t="s">
        <v>138</v>
      </c>
      <c r="F8" s="82">
        <f>20*2</f>
        <v>40</v>
      </c>
    </row>
    <row r="9" spans="1:6" x14ac:dyDescent="0.3">
      <c r="A9" s="141" t="s">
        <v>139</v>
      </c>
      <c r="B9" s="141"/>
      <c r="C9" s="141"/>
      <c r="D9" s="141">
        <v>50000</v>
      </c>
      <c r="E9" s="141">
        <v>60000</v>
      </c>
      <c r="F9" s="217">
        <v>20</v>
      </c>
    </row>
    <row r="10" spans="1:6" x14ac:dyDescent="0.3">
      <c r="E10" s="86" t="s">
        <v>140</v>
      </c>
      <c r="F10" s="216">
        <f>SUM(F3:F9)/7</f>
        <v>21.509573733791029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Смета 2026-2027</vt:lpstr>
      <vt:lpstr>ФЭО к смете 2026-2027</vt:lpstr>
      <vt:lpstr>1</vt:lpstr>
      <vt:lpstr>Индекс цен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Магдий Ольга</dc:creator>
  <cp:lastModifiedBy>Пользователь Windows</cp:lastModifiedBy>
  <cp:lastPrinted>2026-05-29T17:23:01Z</cp:lastPrinted>
  <dcterms:created xsi:type="dcterms:W3CDTF">2024-06-22T06:53:33Z</dcterms:created>
  <dcterms:modified xsi:type="dcterms:W3CDTF">2026-06-02T18:30:10Z</dcterms:modified>
</cp:coreProperties>
</file>